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abelbe-my.sharepoint.com/personal/yannick_mbiya_enabel_be/Documents/Documents/NER/MP/Climat National NER21005/NER21005-10441 Travaux d'aménagement du site de Tsernaoua/BPU/"/>
    </mc:Choice>
  </mc:AlternateContent>
  <xr:revisionPtr revIDLastSave="0" documentId="13_ncr:1_{1CEE8A59-CB25-4D24-8905-5073EF46FD8B}" xr6:coauthVersionLast="47" xr6:coauthVersionMax="47" xr10:uidLastSave="{00000000-0000-0000-0000-000000000000}"/>
  <bookViews>
    <workbookView xWindow="-108" yWindow="-108" windowWidth="23256" windowHeight="12576" activeTab="5" xr2:uid="{F923C814-3C15-42E2-BD1D-01113C5BB4D4}"/>
  </bookViews>
  <sheets>
    <sheet name="Salle_reunion" sheetId="1" r:id="rId1"/>
    <sheet name="Bureau" sheetId="2" r:id="rId2"/>
    <sheet name="Logement" sheetId="10" r:id="rId3"/>
    <sheet name="Toilette" sheetId="4" r:id="rId4"/>
    <sheet name="FS" sheetId="3" r:id="rId5"/>
    <sheet name="Synthèse" sheetId="5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1" l="1"/>
  <c r="F50" i="1"/>
  <c r="F51" i="1"/>
  <c r="F52" i="1"/>
  <c r="F53" i="1"/>
  <c r="F54" i="1"/>
  <c r="F55" i="1"/>
  <c r="D15" i="3"/>
  <c r="D14" i="3"/>
  <c r="D25" i="4"/>
  <c r="D38" i="10" l="1"/>
  <c r="D37" i="10"/>
  <c r="D16" i="3"/>
  <c r="D17" i="3"/>
  <c r="D57" i="10" l="1"/>
  <c r="F45" i="2" l="1"/>
  <c r="D14" i="10"/>
  <c r="F14" i="10" s="1"/>
  <c r="D38" i="2"/>
  <c r="D34" i="2"/>
  <c r="D33" i="2"/>
  <c r="D29" i="2"/>
  <c r="D21" i="2"/>
  <c r="D20" i="2"/>
  <c r="D15" i="2"/>
  <c r="D14" i="2"/>
  <c r="D15" i="10"/>
  <c r="F15" i="10" s="1"/>
  <c r="D13" i="10"/>
  <c r="F13" i="10" s="1"/>
  <c r="D41" i="1"/>
  <c r="D34" i="1"/>
  <c r="D33" i="1"/>
  <c r="D30" i="1"/>
  <c r="D29" i="1"/>
  <c r="D27" i="1"/>
  <c r="D25" i="1"/>
  <c r="D20" i="1"/>
  <c r="D17" i="1"/>
  <c r="D15" i="1"/>
  <c r="D9" i="1"/>
  <c r="D20" i="10"/>
  <c r="F20" i="10" s="1"/>
  <c r="D40" i="10"/>
  <c r="F40" i="10" s="1"/>
  <c r="F37" i="10"/>
  <c r="F38" i="10"/>
  <c r="D34" i="10"/>
  <c r="F34" i="10" s="1"/>
  <c r="D33" i="10"/>
  <c r="F33" i="10" s="1"/>
  <c r="D30" i="10"/>
  <c r="F30" i="10" s="1"/>
  <c r="D29" i="10"/>
  <c r="F29" i="10" s="1"/>
  <c r="D28" i="10"/>
  <c r="F28" i="10" s="1"/>
  <c r="D27" i="10"/>
  <c r="F27" i="10" s="1"/>
  <c r="D26" i="10"/>
  <c r="F26" i="10" s="1"/>
  <c r="D25" i="10"/>
  <c r="F25" i="10" s="1"/>
  <c r="D21" i="10"/>
  <c r="F21" i="10" s="1"/>
  <c r="D17" i="10"/>
  <c r="F17" i="10" s="1"/>
  <c r="D16" i="10"/>
  <c r="F16" i="10" s="1"/>
  <c r="D14" i="1"/>
  <c r="D10" i="10"/>
  <c r="F10" i="10" s="1"/>
  <c r="D9" i="10"/>
  <c r="F9" i="10" s="1"/>
  <c r="D8" i="10"/>
  <c r="F8" i="10" s="1"/>
  <c r="D7" i="10"/>
  <c r="F7" i="10" s="1"/>
  <c r="F57" i="10"/>
  <c r="F54" i="10"/>
  <c r="F53" i="10"/>
  <c r="F52" i="10"/>
  <c r="F51" i="10"/>
  <c r="F50" i="10"/>
  <c r="F49" i="10"/>
  <c r="F48" i="10"/>
  <c r="F44" i="10"/>
  <c r="F43" i="10"/>
  <c r="F22" i="10"/>
  <c r="D17" i="2"/>
  <c r="D16" i="2"/>
  <c r="D13" i="2"/>
  <c r="D10" i="2"/>
  <c r="D9" i="2"/>
  <c r="D8" i="2"/>
  <c r="D7" i="2"/>
  <c r="D39" i="1"/>
  <c r="D37" i="1"/>
  <c r="F38" i="1"/>
  <c r="D21" i="1"/>
  <c r="D16" i="1"/>
  <c r="D13" i="1"/>
  <c r="D10" i="1"/>
  <c r="D8" i="1"/>
  <c r="D7" i="1"/>
  <c r="F55" i="10" l="1"/>
  <c r="D39" i="10"/>
  <c r="F39" i="10" s="1"/>
  <c r="F41" i="10" s="1"/>
  <c r="F35" i="10"/>
  <c r="F23" i="10"/>
  <c r="F11" i="10"/>
  <c r="F18" i="10"/>
  <c r="F46" i="10"/>
  <c r="F31" i="10"/>
  <c r="D58" i="10"/>
  <c r="F58" i="10" s="1"/>
  <c r="F59" i="10" s="1"/>
  <c r="F60" i="10" l="1"/>
  <c r="C4" i="5" s="1"/>
  <c r="F27" i="3" l="1"/>
  <c r="F26" i="3"/>
  <c r="D23" i="3"/>
  <c r="F23" i="3" s="1"/>
  <c r="F24" i="3" s="1"/>
  <c r="F20" i="3"/>
  <c r="F21" i="3" s="1"/>
  <c r="D20" i="3"/>
  <c r="F17" i="3"/>
  <c r="F16" i="3"/>
  <c r="F15" i="3"/>
  <c r="F14" i="3"/>
  <c r="D13" i="3"/>
  <c r="F13" i="3" s="1"/>
  <c r="D10" i="3"/>
  <c r="F10" i="3" s="1"/>
  <c r="F9" i="3"/>
  <c r="D9" i="3"/>
  <c r="F8" i="3"/>
  <c r="D8" i="3"/>
  <c r="F7" i="3"/>
  <c r="D7" i="3"/>
  <c r="D23" i="4"/>
  <c r="D14" i="4"/>
  <c r="D17" i="4"/>
  <c r="D16" i="4"/>
  <c r="F11" i="3" l="1"/>
  <c r="F28" i="3"/>
  <c r="F18" i="3"/>
  <c r="D29" i="4"/>
  <c r="F29" i="4" s="1"/>
  <c r="D28" i="4"/>
  <c r="F28" i="4" s="1"/>
  <c r="F25" i="4"/>
  <c r="F24" i="4"/>
  <c r="F23" i="4"/>
  <c r="D20" i="4"/>
  <c r="F20" i="4" s="1"/>
  <c r="F17" i="4"/>
  <c r="D15" i="4"/>
  <c r="F15" i="4" s="1"/>
  <c r="F14" i="4"/>
  <c r="D13" i="4"/>
  <c r="F13" i="4" s="1"/>
  <c r="D10" i="4"/>
  <c r="F10" i="4" s="1"/>
  <c r="D9" i="4"/>
  <c r="F9" i="4" s="1"/>
  <c r="D8" i="4"/>
  <c r="F8" i="4" s="1"/>
  <c r="D7" i="4"/>
  <c r="F7" i="4" s="1"/>
  <c r="F32" i="4"/>
  <c r="F16" i="4"/>
  <c r="F29" i="3" l="1"/>
  <c r="F30" i="4"/>
  <c r="F18" i="4"/>
  <c r="F33" i="4"/>
  <c r="F21" i="4"/>
  <c r="F11" i="4"/>
  <c r="F26" i="4"/>
  <c r="C6" i="5" l="1"/>
  <c r="E6" i="5" s="1"/>
  <c r="F34" i="4"/>
  <c r="C5" i="5" s="1"/>
  <c r="E5" i="5" s="1"/>
  <c r="D56" i="2"/>
  <c r="D40" i="2"/>
  <c r="F40" i="2" s="1"/>
  <c r="F38" i="2"/>
  <c r="D37" i="2"/>
  <c r="D39" i="2" s="1"/>
  <c r="F39" i="2" s="1"/>
  <c r="F34" i="2"/>
  <c r="F33" i="2"/>
  <c r="F35" i="2" s="1"/>
  <c r="D30" i="2"/>
  <c r="F30" i="2" s="1"/>
  <c r="F29" i="2"/>
  <c r="D28" i="2"/>
  <c r="F28" i="2" s="1"/>
  <c r="D27" i="2"/>
  <c r="F27" i="2" s="1"/>
  <c r="D26" i="2"/>
  <c r="F26" i="2" s="1"/>
  <c r="D25" i="2"/>
  <c r="F25" i="2" s="1"/>
  <c r="F21" i="2"/>
  <c r="F20" i="2"/>
  <c r="F17" i="2"/>
  <c r="F16" i="2"/>
  <c r="F15" i="2"/>
  <c r="F14" i="2"/>
  <c r="F13" i="2"/>
  <c r="F10" i="2"/>
  <c r="F9" i="2"/>
  <c r="F8" i="2"/>
  <c r="F7" i="2"/>
  <c r="F53" i="2"/>
  <c r="F52" i="2"/>
  <c r="F51" i="2"/>
  <c r="F50" i="2"/>
  <c r="F49" i="2"/>
  <c r="F48" i="2"/>
  <c r="F44" i="2"/>
  <c r="F43" i="2"/>
  <c r="F46" i="2" s="1"/>
  <c r="F22" i="2"/>
  <c r="F45" i="1"/>
  <c r="D58" i="1"/>
  <c r="F23" i="2" l="1"/>
  <c r="F54" i="2"/>
  <c r="F37" i="2"/>
  <c r="F41" i="2" s="1"/>
  <c r="F18" i="2"/>
  <c r="F11" i="2"/>
  <c r="F31" i="2"/>
  <c r="F56" i="2"/>
  <c r="D57" i="2"/>
  <c r="F57" i="2" s="1"/>
  <c r="F58" i="2" l="1"/>
  <c r="F59" i="2" s="1"/>
  <c r="C7" i="5" s="1"/>
  <c r="E4" i="5" l="1"/>
  <c r="E7" i="5"/>
  <c r="D59" i="1"/>
  <c r="F59" i="1" s="1"/>
  <c r="F39" i="1"/>
  <c r="D40" i="1"/>
  <c r="F40" i="1" s="1"/>
  <c r="F34" i="1"/>
  <c r="F33" i="1"/>
  <c r="F30" i="1"/>
  <c r="F29" i="1"/>
  <c r="D28" i="1"/>
  <c r="F28" i="1" s="1"/>
  <c r="F27" i="1"/>
  <c r="D26" i="1"/>
  <c r="F26" i="1" s="1"/>
  <c r="F25" i="1"/>
  <c r="F21" i="1"/>
  <c r="F20" i="1"/>
  <c r="F17" i="1"/>
  <c r="F16" i="1"/>
  <c r="F15" i="1"/>
  <c r="F14" i="1"/>
  <c r="F13" i="1"/>
  <c r="F10" i="1"/>
  <c r="F9" i="1"/>
  <c r="F8" i="1"/>
  <c r="F7" i="1"/>
  <c r="F58" i="1"/>
  <c r="F46" i="1"/>
  <c r="F44" i="1"/>
  <c r="F22" i="1"/>
  <c r="F47" i="1" l="1"/>
  <c r="F35" i="1"/>
  <c r="F56" i="1"/>
  <c r="F60" i="1"/>
  <c r="F41" i="1"/>
  <c r="F37" i="1"/>
  <c r="F23" i="1"/>
  <c r="F18" i="1"/>
  <c r="F11" i="1"/>
  <c r="F31" i="1"/>
  <c r="F42" i="1" l="1"/>
  <c r="F61" i="1" l="1"/>
  <c r="C3" i="5" s="1"/>
  <c r="E3" i="5" l="1"/>
  <c r="E8" i="5" s="1"/>
  <c r="F71" i="2"/>
  <c r="F70" i="2" s="1"/>
  <c r="F46" i="4"/>
  <c r="F45" i="4" s="1"/>
</calcChain>
</file>

<file path=xl/sharedStrings.xml><?xml version="1.0" encoding="utf-8"?>
<sst xmlns="http://schemas.openxmlformats.org/spreadsheetml/2006/main" count="584" uniqueCount="165">
  <si>
    <t>CADRE DE DEVIS QUANTITATIF ESTIMATIF</t>
  </si>
  <si>
    <t>Ref.</t>
  </si>
  <si>
    <t>DESIGNATION</t>
  </si>
  <si>
    <t>Unité</t>
  </si>
  <si>
    <t>Quantité</t>
  </si>
  <si>
    <t>PU</t>
  </si>
  <si>
    <t>Montant</t>
  </si>
  <si>
    <t>I</t>
  </si>
  <si>
    <t>TERRASSEMENT</t>
  </si>
  <si>
    <t>1.1</t>
  </si>
  <si>
    <r>
      <t>Implantation</t>
    </r>
    <r>
      <rPr>
        <sz val="12"/>
        <color indexed="8"/>
        <rFont val="Arial Narrow"/>
        <family val="2"/>
      </rPr>
      <t xml:space="preserve"> (positionnement d'implantation, piquetage, marquage et traçage des axes  au moyen de cordeaux conformément aux plans d'exécution)</t>
    </r>
  </si>
  <si>
    <t>m2</t>
  </si>
  <si>
    <t>1.2</t>
  </si>
  <si>
    <t>Fouilles en rigole pour semelles filantes</t>
  </si>
  <si>
    <t>m3</t>
  </si>
  <si>
    <t>1.3</t>
  </si>
  <si>
    <t>Remblai des fouilles provenant de déblais</t>
  </si>
  <si>
    <t>1.4</t>
  </si>
  <si>
    <t>Remblai en latérite de bonne qualité, non argileuse et non visqueuse (épaisseur: 25 cm)</t>
  </si>
  <si>
    <t>Sous - total 1</t>
  </si>
  <si>
    <t>II</t>
  </si>
  <si>
    <t>FONDATIONS-SOUBASSEMENT</t>
  </si>
  <si>
    <t>2.1</t>
  </si>
  <si>
    <t>Béton de propreté dosé à 150 kg/m3</t>
  </si>
  <si>
    <t>2.2</t>
  </si>
  <si>
    <t xml:space="preserve">Béton armé dosé à 350 kg/m3 pour semelles filantes </t>
  </si>
  <si>
    <t>2.3</t>
  </si>
  <si>
    <t xml:space="preserve">Soubassement en agglos pleins de 20x20x40 </t>
  </si>
  <si>
    <t>2.4</t>
  </si>
  <si>
    <t xml:space="preserve">Béton armé dosé à 350 kg/m3 pour poteaux en fondation . </t>
  </si>
  <si>
    <t>2.5</t>
  </si>
  <si>
    <t xml:space="preserve">Béton armé dosé à 350 kg/m3 pour chaînage bas. </t>
  </si>
  <si>
    <t>Sous - total 2</t>
  </si>
  <si>
    <t>III</t>
  </si>
  <si>
    <t>PLANCHER - SOL</t>
  </si>
  <si>
    <t>3.1</t>
  </si>
  <si>
    <t>Film polyane et traitement anti termite</t>
  </si>
  <si>
    <t>3.2</t>
  </si>
  <si>
    <t>Béton armé pour forme d'aire dosé à 300kg/m3 y compris chape incorporée et toute sujétion</t>
  </si>
  <si>
    <t>3.3</t>
  </si>
  <si>
    <t>Béton armé dosé à 350 kg/m3, pour marche d'accès et au niveau des entrées.</t>
  </si>
  <si>
    <t>Sous - total 3</t>
  </si>
  <si>
    <t>IV</t>
  </si>
  <si>
    <t xml:space="preserve">BETON ARME - MACONNERIE </t>
  </si>
  <si>
    <t>4.1</t>
  </si>
  <si>
    <t>Maçonneries en élévation en agglos creux de 15x20x40</t>
  </si>
  <si>
    <t>4.2</t>
  </si>
  <si>
    <t>Béton armé dosé à 350 kg/m3 pour chainage linteau</t>
  </si>
  <si>
    <t>4.3</t>
  </si>
  <si>
    <t>Béton armé dosé à 350 kg/m3 pour chaînage de couronnement et appuis des pannes</t>
  </si>
  <si>
    <t>4.4</t>
  </si>
  <si>
    <t xml:space="preserve">Béton armé dosé à 350 kg/m3 pour poteaux en élévation. </t>
  </si>
  <si>
    <t>4.5</t>
  </si>
  <si>
    <t>Béton armé dosé à 350 kg/m3 pour Appuis de baies</t>
  </si>
  <si>
    <t>4.6</t>
  </si>
  <si>
    <t>Béton armé dosé à 350 kg/m3 pour chéneau et éléments décoratifs</t>
  </si>
  <si>
    <t>Sous - total 4</t>
  </si>
  <si>
    <t>V</t>
  </si>
  <si>
    <t>ENDUITS - REVETEMENTS</t>
  </si>
  <si>
    <t>5.1</t>
  </si>
  <si>
    <t>Enduits ciments lisses sur murs intérieurs et extérieurs</t>
  </si>
  <si>
    <t>5.2</t>
  </si>
  <si>
    <t>Enduits tyroliens sur murs extérieurs</t>
  </si>
  <si>
    <t>Sous - total 5</t>
  </si>
  <si>
    <t>VI</t>
  </si>
  <si>
    <t>CHARPENTE - COUVERTURE-FAUX PLAFONDS</t>
  </si>
  <si>
    <t>6.1</t>
  </si>
  <si>
    <t>Fourniture et pose de cours de pannes en tubes carrés de 50</t>
  </si>
  <si>
    <t>ml</t>
  </si>
  <si>
    <t>6.2</t>
  </si>
  <si>
    <t>Couverture en bac alu zinc de 45/100</t>
  </si>
  <si>
    <t>6.3</t>
  </si>
  <si>
    <t xml:space="preserve">Fourniture et pose du feutre bitumineux </t>
  </si>
  <si>
    <t>6.4</t>
  </si>
  <si>
    <t>Fourniture et pose de faux plafond en contreplaqué de 5 mm</t>
  </si>
  <si>
    <t>Sous - total 6</t>
  </si>
  <si>
    <t>VII</t>
  </si>
  <si>
    <t>7.1</t>
  </si>
  <si>
    <t>U</t>
  </si>
  <si>
    <t>Sous - total 7</t>
  </si>
  <si>
    <t>VIII</t>
  </si>
  <si>
    <t>ELECTRICITE</t>
  </si>
  <si>
    <t>8.2</t>
  </si>
  <si>
    <t>F/P Tableau général, série de fusibles, filerie, disjoncteurs y compris toutes sujétions</t>
  </si>
  <si>
    <t>Ens</t>
  </si>
  <si>
    <t>8.3</t>
  </si>
  <si>
    <t xml:space="preserve">F/P Prise de courant 10A+T </t>
  </si>
  <si>
    <t>8.4</t>
  </si>
  <si>
    <t>F/P Prise de courant étanche</t>
  </si>
  <si>
    <t>8.5</t>
  </si>
  <si>
    <t>8.6</t>
  </si>
  <si>
    <t>F/P Interrupteur double allumage</t>
  </si>
  <si>
    <t>8.7</t>
  </si>
  <si>
    <t>F/P Réglette néon simple de 120</t>
  </si>
  <si>
    <t>8.8</t>
  </si>
  <si>
    <t>F/P Réglette néon étanche de 120 ( y compris mur de cloture)</t>
  </si>
  <si>
    <t>Sous total 8</t>
  </si>
  <si>
    <t>IX</t>
  </si>
  <si>
    <t>PEINTURE</t>
  </si>
  <si>
    <t>9.1</t>
  </si>
  <si>
    <t>9.2</t>
  </si>
  <si>
    <t>9.3</t>
  </si>
  <si>
    <t xml:space="preserve">Vernis sur faux plafonds en contre plaqué de 5mm </t>
  </si>
  <si>
    <t>Sous - total 9</t>
  </si>
  <si>
    <t>MENUISERIES METALLIQUES-ALU</t>
  </si>
  <si>
    <t>F/P Interrupteur à simple allumage pour réglettes extérieures</t>
  </si>
  <si>
    <t>Peinture à huile sur mur intérieurs</t>
  </si>
  <si>
    <t>CONSTRUCTION DES INFRASTRURES PERIMETRES IRRIGUES</t>
  </si>
  <si>
    <t>F/P Réglette néon simple de 60</t>
  </si>
  <si>
    <t xml:space="preserve">F/P de porte en tôle pleine lourde y compris toutes sujétions de mise en œuvre et pose, peinture à huile Dim: 75x180  </t>
  </si>
  <si>
    <t>Réf.</t>
  </si>
  <si>
    <t xml:space="preserve">TERRASSEMENT </t>
  </si>
  <si>
    <t>m²</t>
  </si>
  <si>
    <t xml:space="preserve">Fouille en pleine masse pour fosse </t>
  </si>
  <si>
    <t xml:space="preserve">Fouille en rigole pour semelles filantes </t>
  </si>
  <si>
    <t>Remblai latéritique en terre d'apport arrosé et compacté</t>
  </si>
  <si>
    <t>Sous total 1</t>
  </si>
  <si>
    <t>FONDATION - SOUBASSEMENT</t>
  </si>
  <si>
    <t>Béton armé pour semelles dosé à 350 kg/m3</t>
  </si>
  <si>
    <t>Béton armé pour poteaux dosé à 350 kg/m3</t>
  </si>
  <si>
    <t>Béton armé pour chainage bas dosé à 350 kg/m3</t>
  </si>
  <si>
    <t>2.7</t>
  </si>
  <si>
    <t>Béton armé pour dalle pleine supérieure dosé à 350 kg/m3</t>
  </si>
  <si>
    <t>Sous total 2</t>
  </si>
  <si>
    <t>MACONNERIE - BETON ARME</t>
  </si>
  <si>
    <t>Maçonnerie en agglos pleins de15x20x40 pour fosse et soubassement</t>
  </si>
  <si>
    <t>Sous total 3</t>
  </si>
  <si>
    <t xml:space="preserve">ENDUITS </t>
  </si>
  <si>
    <t>Enduit ciment intérieur étanche pour fosse dosé à 400kg/m3</t>
  </si>
  <si>
    <t>Sous total 5</t>
  </si>
  <si>
    <t>AERATION</t>
  </si>
  <si>
    <t>Couvercle trou d'aisance 60x60x10 avec cornière et anneau de levage en HA10</t>
  </si>
  <si>
    <t>Tuyau d'aération en PVC de 110 avec Té et grillage anti mouche y compris toute sujétion</t>
  </si>
  <si>
    <t>Sous total 6</t>
  </si>
  <si>
    <t>Ouvrage</t>
  </si>
  <si>
    <t>Salle de reunion</t>
  </si>
  <si>
    <t>Logement gardien</t>
  </si>
  <si>
    <t>Toilette</t>
  </si>
  <si>
    <t>Fosse septique</t>
  </si>
  <si>
    <t>Total</t>
  </si>
  <si>
    <t xml:space="preserve">Fourniture et pose de demi-fermes de 1,5m en cornière de 50x50 x3mm de portée y compris </t>
  </si>
  <si>
    <t>MONTANT TOTAL HT SALLE DE REUNION</t>
  </si>
  <si>
    <t>MONTANT TOTAL HT LOGEMENT GARDIEN</t>
  </si>
  <si>
    <t>MONTANT TOTAL HT TOILETTE</t>
  </si>
  <si>
    <t>MONTANT TOTAL HT FOSSE SEPTIQUE</t>
  </si>
  <si>
    <t>7.2</t>
  </si>
  <si>
    <t>7.3</t>
  </si>
  <si>
    <t>6.5</t>
  </si>
  <si>
    <t>8.1</t>
  </si>
  <si>
    <t>ENDUITS - REVETEMENTS-CARRELAGE</t>
  </si>
  <si>
    <t>ENDUITS - REVETEMENTS - CARRELAGE</t>
  </si>
  <si>
    <t>2. FOSSE SEPTIQUE A  2 COMPARTIMENTS 4 M X1,8 M et 2,5 H de profondeur</t>
  </si>
  <si>
    <t>bureau</t>
  </si>
  <si>
    <t>1.Logement gardien 3mX4m</t>
  </si>
  <si>
    <t>2. BUREAU 4,2x3,5</t>
  </si>
  <si>
    <t>1.SALLE DE REUNION 5x6</t>
  </si>
  <si>
    <t>2. TOILETTE 1,5x2</t>
  </si>
  <si>
    <t>MONTANT TOTAL HT BUREAU</t>
  </si>
  <si>
    <t>Porte métallique persiénnée 220x80 à 1 battant avec serrure à canon marque vachette y compris butée et loquet de blocage en position ouverte et toutes autres sujétions</t>
  </si>
  <si>
    <t>Fenêtre métallique persiénnée 120x120 à 2 battants ouvrant à la française +2 crochets</t>
  </si>
  <si>
    <t xml:space="preserve">Fet P de cornière de 30x30 pour nez de marches et aux seuils d'entrées. </t>
  </si>
  <si>
    <t xml:space="preserve">Fenêtre métallique persiénnée 120x120 à 2 battants ouvrant à la française +2 crochets placer sur la façade postérieure </t>
  </si>
  <si>
    <t>Fenêtre métallique persiénnée 120x120 à 1 battant placer sur la façade principale</t>
  </si>
  <si>
    <t>Portes métalliques persiennées forgées avec serrure vachette : PMP (120 x 220) y compris butée et loquet de blocage en position ouverte pour chaque battant et toutes autres sujétions</t>
  </si>
  <si>
    <t>Fenêtre métallique persiénnée 120x120 à 2 battants ouvrant à la française y compris butée et loquet de blocage en position ouverte pour chaque battant et toutes autres sujétions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</si>
</sst>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0.000"/>
    <numFmt numFmtId="166" formatCode="#\ ###\ ##0"/>
    <numFmt numFmtId="167" formatCode="_-* #,##0.000\ _F_-;\-* #,##0.000\ _F_-;_-* &quot;-&quot;??\ _F_-;_-@_-"/>
    <numFmt numFmtId="168" formatCode="_-* #,##0\ _€_-;\-* #,##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u/>
      <sz val="12"/>
      <name val="Arial Narrow"/>
      <family val="2"/>
    </font>
    <font>
      <b/>
      <u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b/>
      <sz val="11"/>
      <name val="Arial Narrow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Arial Narrow"/>
      <family val="2"/>
    </font>
    <font>
      <sz val="9"/>
      <color rgb="FF585756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3" fillId="0" borderId="0">
      <protection locked="0"/>
    </xf>
    <xf numFmtId="0" fontId="3" fillId="0" borderId="0">
      <alignment vertical="center"/>
    </xf>
    <xf numFmtId="0" fontId="1" fillId="0" borderId="0"/>
    <xf numFmtId="0" fontId="3" fillId="0" borderId="0"/>
    <xf numFmtId="0" fontId="3" fillId="0" borderId="0">
      <alignment vertical="center"/>
    </xf>
    <xf numFmtId="164" fontId="3" fillId="0" borderId="0">
      <alignment vertical="top"/>
      <protection locked="0"/>
    </xf>
    <xf numFmtId="0" fontId="3" fillId="0" borderId="0"/>
  </cellStyleXfs>
  <cellXfs count="85">
    <xf numFmtId="0" fontId="0" fillId="0" borderId="0" xfId="0"/>
    <xf numFmtId="3" fontId="0" fillId="0" borderId="0" xfId="0" applyNumberFormat="1" applyAlignment="1">
      <alignment horizontal="center"/>
    </xf>
    <xf numFmtId="0" fontId="2" fillId="0" borderId="0" xfId="0" applyFont="1"/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2" borderId="1" xfId="1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left" vertical="center"/>
    </xf>
    <xf numFmtId="0" fontId="9" fillId="2" borderId="1" xfId="4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8" fillId="0" borderId="1" xfId="5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3" fontId="9" fillId="0" borderId="3" xfId="1" applyNumberFormat="1" applyFont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/>
    </xf>
    <xf numFmtId="167" fontId="9" fillId="0" borderId="1" xfId="1" applyNumberFormat="1" applyFont="1" applyBorder="1" applyAlignment="1">
      <alignment horizontal="center" vertical="center"/>
    </xf>
    <xf numFmtId="0" fontId="9" fillId="2" borderId="1" xfId="4" applyFont="1" applyFill="1" applyBorder="1" applyAlignment="1">
      <alignment horizontal="left" vertical="center"/>
    </xf>
    <xf numFmtId="2" fontId="8" fillId="2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/>
    </xf>
    <xf numFmtId="0" fontId="6" fillId="0" borderId="1" xfId="6" applyFont="1" applyBorder="1">
      <alignment vertical="center"/>
    </xf>
    <xf numFmtId="0" fontId="12" fillId="0" borderId="1" xfId="6" applyFont="1" applyBorder="1" applyAlignment="1">
      <alignment horizontal="center" vertical="center"/>
    </xf>
    <xf numFmtId="2" fontId="12" fillId="0" borderId="1" xfId="6" applyNumberFormat="1" applyFont="1" applyBorder="1" applyAlignment="1">
      <alignment horizontal="center" vertical="center"/>
    </xf>
    <xf numFmtId="3" fontId="12" fillId="0" borderId="1" xfId="7" applyNumberFormat="1" applyFont="1" applyBorder="1" applyAlignment="1" applyProtection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68" fontId="9" fillId="0" borderId="1" xfId="1" applyNumberFormat="1" applyFont="1" applyBorder="1" applyAlignment="1">
      <alignment vertical="center"/>
    </xf>
    <xf numFmtId="1" fontId="12" fillId="0" borderId="1" xfId="0" applyNumberFormat="1" applyFont="1" applyBorder="1" applyAlignment="1">
      <alignment horizontal="center" vertical="center"/>
    </xf>
    <xf numFmtId="168" fontId="12" fillId="0" borderId="1" xfId="1" applyNumberFormat="1" applyFont="1" applyFill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0" fontId="6" fillId="0" borderId="1" xfId="6" applyFont="1" applyBorder="1" applyAlignment="1">
      <alignment horizontal="right" vertical="center"/>
    </xf>
    <xf numFmtId="3" fontId="12" fillId="0" borderId="1" xfId="6" applyNumberFormat="1" applyFont="1" applyBorder="1" applyAlignment="1">
      <alignment horizontal="center" vertical="center"/>
    </xf>
    <xf numFmtId="3" fontId="6" fillId="0" borderId="1" xfId="6" applyNumberFormat="1" applyFont="1" applyBorder="1" applyAlignment="1">
      <alignment horizontal="center" vertical="center"/>
    </xf>
    <xf numFmtId="3" fontId="13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2" fontId="12" fillId="0" borderId="1" xfId="0" applyNumberFormat="1" applyFont="1" applyBorder="1" applyAlignment="1">
      <alignment horizontal="center" vertical="center"/>
    </xf>
    <xf numFmtId="0" fontId="12" fillId="0" borderId="1" xfId="8" applyFont="1" applyBorder="1" applyAlignment="1">
      <alignment horizontal="center" vertical="center"/>
    </xf>
    <xf numFmtId="2" fontId="12" fillId="0" borderId="1" xfId="8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165" fontId="12" fillId="0" borderId="1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3" fontId="6" fillId="0" borderId="1" xfId="7" applyNumberFormat="1" applyFont="1" applyBorder="1" applyAlignment="1" applyProtection="1">
      <alignment horizontal="center" vertical="center"/>
    </xf>
    <xf numFmtId="0" fontId="12" fillId="0" borderId="0" xfId="2" applyFont="1" applyAlignment="1" applyProtection="1">
      <alignment horizontal="center"/>
    </xf>
    <xf numFmtId="0" fontId="12" fillId="0" borderId="0" xfId="2" applyFont="1" applyProtection="1"/>
    <xf numFmtId="2" fontId="12" fillId="0" borderId="0" xfId="2" applyNumberFormat="1" applyFont="1" applyAlignment="1" applyProtection="1">
      <alignment horizontal="center"/>
    </xf>
    <xf numFmtId="3" fontId="12" fillId="0" borderId="0" xfId="2" applyNumberFormat="1" applyFont="1" applyAlignment="1" applyProtection="1">
      <alignment horizontal="center"/>
    </xf>
    <xf numFmtId="0" fontId="14" fillId="0" borderId="1" xfId="0" applyFont="1" applyBorder="1"/>
    <xf numFmtId="0" fontId="0" fillId="0" borderId="1" xfId="0" applyBorder="1"/>
    <xf numFmtId="3" fontId="0" fillId="0" borderId="1" xfId="0" applyNumberFormat="1" applyBorder="1"/>
    <xf numFmtId="3" fontId="14" fillId="0" borderId="1" xfId="0" applyNumberFormat="1" applyFont="1" applyBorder="1"/>
    <xf numFmtId="0" fontId="16" fillId="0" borderId="7" xfId="0" applyFont="1" applyBorder="1" applyAlignment="1">
      <alignment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9">
    <cellStyle name="Milliers" xfId="1" builtinId="3"/>
    <cellStyle name="Milliers_LOGEMENT GARDIEN" xfId="7" xr:uid="{DF35DFDB-9A82-4C34-9F02-49408915670F}"/>
    <cellStyle name="Normal" xfId="0" builtinId="0"/>
    <cellStyle name="Normal 2" xfId="5" xr:uid="{0D85678C-C392-48E8-A438-BED7D13745E5}"/>
    <cellStyle name="Normal 2 2" xfId="2" xr:uid="{41ADBC15-4F99-4F14-AD39-07FC08BD4337}"/>
    <cellStyle name="Normal 3" xfId="6" xr:uid="{EDBFD36F-C336-409A-8741-9D253DD91CE2}"/>
    <cellStyle name="Normal 3 2" xfId="8" xr:uid="{C7751AC2-EABA-4E05-A984-123492B6253E}"/>
    <cellStyle name="Normal 4" xfId="4" xr:uid="{EC82A7B3-2FBF-4E7D-A2A8-3A21A07C74F7}"/>
    <cellStyle name="Normal 5" xfId="3" xr:uid="{89D6E023-701F-4C42-ACFF-5EF0C26DC1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43AA3-2585-44C0-BF00-6147D524549E}">
  <dimension ref="A1:G61"/>
  <sheetViews>
    <sheetView topLeftCell="A56" zoomScale="120" zoomScaleNormal="120" workbookViewId="0">
      <selection activeCell="H34" sqref="H34"/>
    </sheetView>
  </sheetViews>
  <sheetFormatPr baseColWidth="10" defaultRowHeight="14.4" x14ac:dyDescent="0.3"/>
  <cols>
    <col min="1" max="1" width="5.109375" customWidth="1"/>
    <col min="2" max="2" width="46.6640625" customWidth="1"/>
    <col min="3" max="3" width="6.5546875" customWidth="1"/>
    <col min="4" max="4" width="11.33203125" customWidth="1"/>
    <col min="5" max="5" width="10.88671875" style="1" customWidth="1"/>
    <col min="6" max="6" width="12.44140625" style="1" customWidth="1"/>
    <col min="7" max="7" width="11.44140625" style="2"/>
  </cols>
  <sheetData>
    <row r="1" spans="1:6" ht="10.5" hidden="1" customHeight="1" x14ac:dyDescent="0.3"/>
    <row r="2" spans="1:6" ht="18.75" customHeight="1" x14ac:dyDescent="0.3">
      <c r="A2" s="78" t="s">
        <v>107</v>
      </c>
      <c r="B2" s="78"/>
      <c r="C2" s="78"/>
      <c r="D2" s="78"/>
      <c r="E2" s="78"/>
      <c r="F2" s="78"/>
    </row>
    <row r="3" spans="1:6" ht="15.6" x14ac:dyDescent="0.3">
      <c r="A3" s="79" t="s">
        <v>0</v>
      </c>
      <c r="B3" s="79"/>
      <c r="C3" s="79"/>
      <c r="D3" s="79"/>
      <c r="E3" s="79"/>
      <c r="F3" s="79"/>
    </row>
    <row r="4" spans="1:6" ht="15.6" x14ac:dyDescent="0.3">
      <c r="A4" s="80" t="s">
        <v>155</v>
      </c>
      <c r="B4" s="80"/>
      <c r="C4" s="80"/>
      <c r="D4" s="80"/>
      <c r="E4" s="80"/>
      <c r="F4" s="80"/>
    </row>
    <row r="5" spans="1:6" ht="20.25" customHeight="1" x14ac:dyDescent="0.3">
      <c r="A5" s="3" t="s">
        <v>1</v>
      </c>
      <c r="B5" s="3" t="s">
        <v>2</v>
      </c>
      <c r="C5" s="3" t="s">
        <v>3</v>
      </c>
      <c r="D5" s="4" t="s">
        <v>4</v>
      </c>
      <c r="E5" s="5" t="s">
        <v>5</v>
      </c>
      <c r="F5" s="5" t="s">
        <v>6</v>
      </c>
    </row>
    <row r="6" spans="1:6" x14ac:dyDescent="0.3">
      <c r="A6" s="6" t="s">
        <v>7</v>
      </c>
      <c r="B6" s="7" t="s">
        <v>8</v>
      </c>
      <c r="C6" s="8"/>
      <c r="D6" s="8"/>
      <c r="E6" s="8"/>
      <c r="F6" s="9"/>
    </row>
    <row r="7" spans="1:6" ht="48" customHeight="1" x14ac:dyDescent="0.3">
      <c r="A7" s="10" t="s">
        <v>9</v>
      </c>
      <c r="B7" s="11" t="s">
        <v>10</v>
      </c>
      <c r="C7" s="10" t="s">
        <v>11</v>
      </c>
      <c r="D7" s="12">
        <f>5*6+1.5*6</f>
        <v>39</v>
      </c>
      <c r="E7" s="13"/>
      <c r="F7" s="14">
        <f>+E7*D7</f>
        <v>0</v>
      </c>
    </row>
    <row r="8" spans="1:6" ht="15.6" x14ac:dyDescent="0.3">
      <c r="A8" s="10" t="s">
        <v>12</v>
      </c>
      <c r="B8" s="15" t="s">
        <v>13</v>
      </c>
      <c r="C8" s="16" t="s">
        <v>14</v>
      </c>
      <c r="D8" s="17">
        <f>0.4*31*1</f>
        <v>12.4</v>
      </c>
      <c r="E8" s="14"/>
      <c r="F8" s="18">
        <f>E8*D8</f>
        <v>0</v>
      </c>
    </row>
    <row r="9" spans="1:6" ht="15.6" x14ac:dyDescent="0.3">
      <c r="A9" s="10" t="s">
        <v>15</v>
      </c>
      <c r="B9" s="15" t="s">
        <v>16</v>
      </c>
      <c r="C9" s="16" t="s">
        <v>14</v>
      </c>
      <c r="D9" s="19">
        <f>0.2*0.75*(6*2*5*2+5*1.5*2)</f>
        <v>20.250000000000004</v>
      </c>
      <c r="E9" s="14"/>
      <c r="F9" s="18">
        <f>E9*D9</f>
        <v>0</v>
      </c>
    </row>
    <row r="10" spans="1:6" ht="27.6" x14ac:dyDescent="0.3">
      <c r="A10" s="10" t="s">
        <v>17</v>
      </c>
      <c r="B10" s="15" t="s">
        <v>18</v>
      </c>
      <c r="C10" s="16" t="s">
        <v>14</v>
      </c>
      <c r="D10" s="19">
        <f>0.25*5*6+0.25*1.5*6</f>
        <v>9.75</v>
      </c>
      <c r="E10" s="20"/>
      <c r="F10" s="18">
        <f>E10*D10</f>
        <v>0</v>
      </c>
    </row>
    <row r="11" spans="1:6" x14ac:dyDescent="0.3">
      <c r="A11" s="7"/>
      <c r="B11" s="21" t="s">
        <v>19</v>
      </c>
      <c r="C11" s="7"/>
      <c r="D11" s="7"/>
      <c r="E11" s="7"/>
      <c r="F11" s="22">
        <f>SUM(F7:F10)</f>
        <v>0</v>
      </c>
    </row>
    <row r="12" spans="1:6" ht="15.6" x14ac:dyDescent="0.3">
      <c r="A12" s="6" t="s">
        <v>20</v>
      </c>
      <c r="B12" s="23" t="s">
        <v>21</v>
      </c>
      <c r="C12" s="8"/>
      <c r="D12" s="8"/>
      <c r="E12" s="8"/>
      <c r="F12" s="9"/>
    </row>
    <row r="13" spans="1:6" ht="15.6" x14ac:dyDescent="0.3">
      <c r="A13" s="10" t="s">
        <v>22</v>
      </c>
      <c r="B13" s="24" t="s">
        <v>23</v>
      </c>
      <c r="C13" s="16" t="s">
        <v>14</v>
      </c>
      <c r="D13" s="19">
        <f>31*0.4*0.05</f>
        <v>0.62000000000000011</v>
      </c>
      <c r="E13" s="14"/>
      <c r="F13" s="18">
        <f>E13*D13</f>
        <v>0</v>
      </c>
    </row>
    <row r="14" spans="1:6" ht="16.5" customHeight="1" x14ac:dyDescent="0.3">
      <c r="A14" s="10" t="s">
        <v>24</v>
      </c>
      <c r="B14" s="25" t="s">
        <v>25</v>
      </c>
      <c r="C14" s="16" t="s">
        <v>14</v>
      </c>
      <c r="D14" s="19">
        <f>0.4*0.2*31</f>
        <v>2.4800000000000004</v>
      </c>
      <c r="E14" s="26"/>
      <c r="F14" s="18">
        <f>E14*D14</f>
        <v>0</v>
      </c>
    </row>
    <row r="15" spans="1:6" ht="15.6" x14ac:dyDescent="0.3">
      <c r="A15" s="10" t="s">
        <v>26</v>
      </c>
      <c r="B15" s="25" t="s">
        <v>27</v>
      </c>
      <c r="C15" s="16" t="s">
        <v>11</v>
      </c>
      <c r="D15" s="19">
        <f>(6*2+5*2+5+1.5*2)</f>
        <v>30</v>
      </c>
      <c r="E15" s="18"/>
      <c r="F15" s="18">
        <f>E15*D15</f>
        <v>0</v>
      </c>
    </row>
    <row r="16" spans="1:6" ht="31.2" x14ac:dyDescent="0.3">
      <c r="A16" s="10" t="s">
        <v>28</v>
      </c>
      <c r="B16" s="25" t="s">
        <v>29</v>
      </c>
      <c r="C16" s="16" t="s">
        <v>14</v>
      </c>
      <c r="D16" s="19">
        <f>8*0.2*0.2*1.2</f>
        <v>0.38400000000000006</v>
      </c>
      <c r="E16" s="26"/>
      <c r="F16" s="18">
        <f>E16*D16</f>
        <v>0</v>
      </c>
    </row>
    <row r="17" spans="1:6" ht="15.6" x14ac:dyDescent="0.3">
      <c r="A17" s="10" t="s">
        <v>30</v>
      </c>
      <c r="B17" s="25" t="s">
        <v>31</v>
      </c>
      <c r="C17" s="16" t="s">
        <v>14</v>
      </c>
      <c r="D17" s="19">
        <f>30*0.2*0.2</f>
        <v>1.2000000000000002</v>
      </c>
      <c r="E17" s="26"/>
      <c r="F17" s="18">
        <f>E17*D17</f>
        <v>0</v>
      </c>
    </row>
    <row r="18" spans="1:6" x14ac:dyDescent="0.3">
      <c r="A18" s="7"/>
      <c r="B18" s="21" t="s">
        <v>32</v>
      </c>
      <c r="C18" s="7"/>
      <c r="D18" s="7"/>
      <c r="E18" s="7"/>
      <c r="F18" s="22">
        <f>SUM(F13:F17)</f>
        <v>0</v>
      </c>
    </row>
    <row r="19" spans="1:6" x14ac:dyDescent="0.3">
      <c r="A19" s="6" t="s">
        <v>33</v>
      </c>
      <c r="B19" s="7" t="s">
        <v>34</v>
      </c>
      <c r="C19" s="8"/>
      <c r="D19" s="8"/>
      <c r="E19" s="8"/>
      <c r="F19" s="9"/>
    </row>
    <row r="20" spans="1:6" x14ac:dyDescent="0.3">
      <c r="A20" s="16" t="s">
        <v>35</v>
      </c>
      <c r="B20" s="27" t="s">
        <v>36</v>
      </c>
      <c r="C20" s="16" t="s">
        <v>11</v>
      </c>
      <c r="D20" s="28">
        <f>5*6+1.5*6</f>
        <v>39</v>
      </c>
      <c r="E20" s="9"/>
      <c r="F20" s="18">
        <f>D20*E20</f>
        <v>0</v>
      </c>
    </row>
    <row r="21" spans="1:6" ht="31.2" x14ac:dyDescent="0.3">
      <c r="A21" s="16" t="s">
        <v>37</v>
      </c>
      <c r="B21" s="29" t="s">
        <v>38</v>
      </c>
      <c r="C21" s="16" t="s">
        <v>14</v>
      </c>
      <c r="D21" s="19">
        <f>5*6*0.1+1.5*6*0.1</f>
        <v>3.9</v>
      </c>
      <c r="E21" s="30"/>
      <c r="F21" s="18">
        <f>E21*D21</f>
        <v>0</v>
      </c>
    </row>
    <row r="22" spans="1:6" ht="27.6" x14ac:dyDescent="0.3">
      <c r="A22" s="16" t="s">
        <v>39</v>
      </c>
      <c r="B22" s="15" t="s">
        <v>40</v>
      </c>
      <c r="C22" s="16" t="s">
        <v>14</v>
      </c>
      <c r="D22" s="19">
        <v>0.28999999999999998</v>
      </c>
      <c r="E22" s="26"/>
      <c r="F22" s="18">
        <f>E22*D22</f>
        <v>0</v>
      </c>
    </row>
    <row r="23" spans="1:6" ht="17.100000000000001" customHeight="1" x14ac:dyDescent="0.3">
      <c r="A23" s="7"/>
      <c r="B23" s="21" t="s">
        <v>41</v>
      </c>
      <c r="C23" s="7"/>
      <c r="D23" s="7"/>
      <c r="E23" s="7"/>
      <c r="F23" s="22">
        <f>SUM(F20:F22)</f>
        <v>0</v>
      </c>
    </row>
    <row r="24" spans="1:6" x14ac:dyDescent="0.3">
      <c r="A24" s="6" t="s">
        <v>42</v>
      </c>
      <c r="B24" s="7" t="s">
        <v>43</v>
      </c>
      <c r="C24" s="8"/>
      <c r="D24" s="8"/>
      <c r="E24" s="8"/>
      <c r="F24" s="9"/>
    </row>
    <row r="25" spans="1:6" ht="15.6" x14ac:dyDescent="0.3">
      <c r="A25" s="16" t="s">
        <v>44</v>
      </c>
      <c r="B25" s="15" t="s">
        <v>45</v>
      </c>
      <c r="C25" s="16" t="s">
        <v>11</v>
      </c>
      <c r="D25" s="28">
        <f>0.22*17*22</f>
        <v>82.28</v>
      </c>
      <c r="E25" s="31"/>
      <c r="F25" s="18">
        <f t="shared" ref="F25:F30" si="0">E25*D25</f>
        <v>0</v>
      </c>
    </row>
    <row r="26" spans="1:6" ht="16.5" customHeight="1" x14ac:dyDescent="0.3">
      <c r="A26" s="16" t="s">
        <v>46</v>
      </c>
      <c r="B26" s="25" t="s">
        <v>47</v>
      </c>
      <c r="C26" s="16" t="s">
        <v>14</v>
      </c>
      <c r="D26" s="19">
        <f>22*0.15*0.2</f>
        <v>0.66</v>
      </c>
      <c r="E26" s="26"/>
      <c r="F26" s="18">
        <f t="shared" si="0"/>
        <v>0</v>
      </c>
    </row>
    <row r="27" spans="1:6" ht="31.2" x14ac:dyDescent="0.3">
      <c r="A27" s="16" t="s">
        <v>48</v>
      </c>
      <c r="B27" s="25" t="s">
        <v>49</v>
      </c>
      <c r="C27" s="16" t="s">
        <v>14</v>
      </c>
      <c r="D27" s="19">
        <f>12*0.2*0.2</f>
        <v>0.48000000000000009</v>
      </c>
      <c r="E27" s="26"/>
      <c r="F27" s="18">
        <f t="shared" si="0"/>
        <v>0</v>
      </c>
    </row>
    <row r="28" spans="1:6" ht="15" customHeight="1" x14ac:dyDescent="0.3">
      <c r="A28" s="16" t="s">
        <v>50</v>
      </c>
      <c r="B28" s="52" t="s">
        <v>51</v>
      </c>
      <c r="C28" s="16" t="s">
        <v>14</v>
      </c>
      <c r="D28" s="17">
        <f>((4.37+3.75)/2)*0.15*0.15*6</f>
        <v>0.54810000000000003</v>
      </c>
      <c r="E28" s="26"/>
      <c r="F28" s="18">
        <f t="shared" si="0"/>
        <v>0</v>
      </c>
    </row>
    <row r="29" spans="1:6" ht="19.5" customHeight="1" x14ac:dyDescent="0.3">
      <c r="A29" s="16" t="s">
        <v>52</v>
      </c>
      <c r="B29" s="25" t="s">
        <v>53</v>
      </c>
      <c r="C29" s="16" t="s">
        <v>14</v>
      </c>
      <c r="D29" s="17">
        <f>0.1*0.15*20.8</f>
        <v>0.312</v>
      </c>
      <c r="E29" s="26"/>
      <c r="F29" s="18">
        <f t="shared" si="0"/>
        <v>0</v>
      </c>
    </row>
    <row r="30" spans="1:6" ht="31.2" x14ac:dyDescent="0.3">
      <c r="A30" s="16" t="s">
        <v>54</v>
      </c>
      <c r="B30" s="25" t="s">
        <v>55</v>
      </c>
      <c r="C30" s="10" t="s">
        <v>14</v>
      </c>
      <c r="D30" s="32">
        <f>+(0.45+0.5*2)*0.1*6</f>
        <v>0.86999999999999988</v>
      </c>
      <c r="E30" s="26"/>
      <c r="F30" s="14">
        <f t="shared" si="0"/>
        <v>0</v>
      </c>
    </row>
    <row r="31" spans="1:6" x14ac:dyDescent="0.3">
      <c r="A31" s="7"/>
      <c r="B31" s="21" t="s">
        <v>56</v>
      </c>
      <c r="C31" s="7"/>
      <c r="D31" s="7"/>
      <c r="E31" s="7"/>
      <c r="F31" s="22">
        <f>SUM(F25:F30)</f>
        <v>0</v>
      </c>
    </row>
    <row r="32" spans="1:6" x14ac:dyDescent="0.3">
      <c r="A32" s="6" t="s">
        <v>57</v>
      </c>
      <c r="B32" s="7" t="s">
        <v>149</v>
      </c>
      <c r="C32" s="8"/>
      <c r="D32" s="8"/>
      <c r="E32" s="8"/>
      <c r="F32" s="9"/>
    </row>
    <row r="33" spans="1:6" ht="16.5" customHeight="1" x14ac:dyDescent="0.3">
      <c r="A33" s="10" t="s">
        <v>59</v>
      </c>
      <c r="B33" s="33" t="s">
        <v>60</v>
      </c>
      <c r="C33" s="16" t="s">
        <v>11</v>
      </c>
      <c r="D33" s="34">
        <f>22*(3.5+4.2)</f>
        <v>169.4</v>
      </c>
      <c r="E33" s="18"/>
      <c r="F33" s="18">
        <f>D33*E33</f>
        <v>0</v>
      </c>
    </row>
    <row r="34" spans="1:6" ht="15.6" x14ac:dyDescent="0.3">
      <c r="A34" s="10" t="s">
        <v>61</v>
      </c>
      <c r="B34" s="33" t="s">
        <v>62</v>
      </c>
      <c r="C34" s="16" t="s">
        <v>11</v>
      </c>
      <c r="D34" s="34">
        <f>22*5.2</f>
        <v>114.4</v>
      </c>
      <c r="E34" s="18"/>
      <c r="F34" s="18">
        <f>D34*E34</f>
        <v>0</v>
      </c>
    </row>
    <row r="35" spans="1:6" x14ac:dyDescent="0.3">
      <c r="A35" s="7"/>
      <c r="B35" s="21" t="s">
        <v>63</v>
      </c>
      <c r="C35" s="7"/>
      <c r="D35" s="7"/>
      <c r="E35" s="7"/>
      <c r="F35" s="22">
        <f>SUM(F33:F34)</f>
        <v>0</v>
      </c>
    </row>
    <row r="36" spans="1:6" x14ac:dyDescent="0.3">
      <c r="A36" s="6" t="s">
        <v>64</v>
      </c>
      <c r="B36" s="7" t="s">
        <v>65</v>
      </c>
      <c r="C36" s="8"/>
      <c r="D36" s="8"/>
      <c r="E36" s="8"/>
      <c r="F36" s="9"/>
    </row>
    <row r="37" spans="1:6" x14ac:dyDescent="0.3">
      <c r="A37" s="16" t="s">
        <v>66</v>
      </c>
      <c r="B37" s="15" t="s">
        <v>67</v>
      </c>
      <c r="C37" s="16" t="s">
        <v>68</v>
      </c>
      <c r="D37" s="28">
        <f>6.3*9</f>
        <v>56.699999999999996</v>
      </c>
      <c r="E37" s="18"/>
      <c r="F37" s="18">
        <f>E37*D37</f>
        <v>0</v>
      </c>
    </row>
    <row r="38" spans="1:6" ht="27.6" x14ac:dyDescent="0.3">
      <c r="A38" s="16" t="s">
        <v>69</v>
      </c>
      <c r="B38" s="15" t="s">
        <v>140</v>
      </c>
      <c r="C38" s="16" t="s">
        <v>78</v>
      </c>
      <c r="D38" s="28">
        <v>4</v>
      </c>
      <c r="E38" s="18"/>
      <c r="F38" s="18">
        <f>E38*D38</f>
        <v>0</v>
      </c>
    </row>
    <row r="39" spans="1:6" ht="17.100000000000001" customHeight="1" x14ac:dyDescent="0.3">
      <c r="A39" s="16" t="s">
        <v>71</v>
      </c>
      <c r="B39" s="15" t="s">
        <v>70</v>
      </c>
      <c r="C39" s="16" t="s">
        <v>11</v>
      </c>
      <c r="D39" s="28">
        <f>5.5*6.5+6*2</f>
        <v>47.75</v>
      </c>
      <c r="E39" s="18"/>
      <c r="F39" s="18">
        <f>E39*D39</f>
        <v>0</v>
      </c>
    </row>
    <row r="40" spans="1:6" x14ac:dyDescent="0.3">
      <c r="A40" s="16" t="s">
        <v>73</v>
      </c>
      <c r="B40" s="15" t="s">
        <v>72</v>
      </c>
      <c r="C40" s="16" t="s">
        <v>68</v>
      </c>
      <c r="D40" s="28">
        <f>+D37</f>
        <v>56.699999999999996</v>
      </c>
      <c r="E40" s="18"/>
      <c r="F40" s="18">
        <f>E40*D40</f>
        <v>0</v>
      </c>
    </row>
    <row r="41" spans="1:6" x14ac:dyDescent="0.3">
      <c r="A41" s="16" t="s">
        <v>147</v>
      </c>
      <c r="B41" s="15" t="s">
        <v>74</v>
      </c>
      <c r="C41" s="16" t="s">
        <v>11</v>
      </c>
      <c r="D41" s="28">
        <f>6*5</f>
        <v>30</v>
      </c>
      <c r="E41" s="18"/>
      <c r="F41" s="18">
        <f>E41*D41</f>
        <v>0</v>
      </c>
    </row>
    <row r="42" spans="1:6" x14ac:dyDescent="0.3">
      <c r="A42" s="7"/>
      <c r="B42" s="21" t="s">
        <v>75</v>
      </c>
      <c r="C42" s="7"/>
      <c r="D42" s="7"/>
      <c r="E42" s="7"/>
      <c r="F42" s="22">
        <f>SUM(F37:F41)</f>
        <v>0</v>
      </c>
    </row>
    <row r="43" spans="1:6" x14ac:dyDescent="0.3">
      <c r="A43" s="6" t="s">
        <v>76</v>
      </c>
      <c r="B43" s="7" t="s">
        <v>104</v>
      </c>
      <c r="C43" s="8"/>
      <c r="D43" s="8"/>
      <c r="E43" s="8"/>
      <c r="F43" s="9"/>
    </row>
    <row r="44" spans="1:6" ht="42" thickBot="1" x14ac:dyDescent="0.35">
      <c r="A44" s="74" t="s">
        <v>77</v>
      </c>
      <c r="B44" s="72" t="s">
        <v>163</v>
      </c>
      <c r="C44" s="75" t="s">
        <v>78</v>
      </c>
      <c r="D44" s="73">
        <v>1</v>
      </c>
      <c r="E44" s="18"/>
      <c r="F44" s="18">
        <f>E44*D44</f>
        <v>0</v>
      </c>
    </row>
    <row r="45" spans="1:6" ht="42" thickBot="1" x14ac:dyDescent="0.35">
      <c r="A45" s="74" t="s">
        <v>145</v>
      </c>
      <c r="B45" s="72" t="s">
        <v>164</v>
      </c>
      <c r="C45" s="75" t="s">
        <v>78</v>
      </c>
      <c r="D45" s="73">
        <v>5</v>
      </c>
      <c r="E45" s="18"/>
      <c r="F45" s="18">
        <f>E45*D45</f>
        <v>0</v>
      </c>
    </row>
    <row r="46" spans="1:6" ht="28.2" thickBot="1" x14ac:dyDescent="0.35">
      <c r="A46" s="74" t="s">
        <v>146</v>
      </c>
      <c r="B46" s="76" t="s">
        <v>160</v>
      </c>
      <c r="C46" s="73" t="s">
        <v>68</v>
      </c>
      <c r="D46" s="73">
        <v>15</v>
      </c>
      <c r="E46" s="18"/>
      <c r="F46" s="18">
        <f>E46*D46</f>
        <v>0</v>
      </c>
    </row>
    <row r="47" spans="1:6" x14ac:dyDescent="0.3">
      <c r="A47" s="7"/>
      <c r="B47" s="21" t="s">
        <v>79</v>
      </c>
      <c r="C47" s="7"/>
      <c r="D47" s="7"/>
      <c r="E47" s="7"/>
      <c r="F47" s="22">
        <f>SUM(F44:F46)</f>
        <v>0</v>
      </c>
    </row>
    <row r="48" spans="1:6" ht="15.6" x14ac:dyDescent="0.3">
      <c r="A48" s="36" t="s">
        <v>80</v>
      </c>
      <c r="B48" s="37" t="s">
        <v>81</v>
      </c>
      <c r="C48" s="38"/>
      <c r="D48" s="39"/>
      <c r="E48" s="40"/>
      <c r="F48" s="40"/>
    </row>
    <row r="49" spans="1:6" ht="31.2" x14ac:dyDescent="0.3">
      <c r="A49" s="38" t="s">
        <v>148</v>
      </c>
      <c r="B49" s="41" t="s">
        <v>83</v>
      </c>
      <c r="C49" s="42" t="s">
        <v>84</v>
      </c>
      <c r="D49" s="43">
        <v>1</v>
      </c>
      <c r="E49" s="44"/>
      <c r="F49" s="44">
        <f t="shared" ref="F49:F55" si="1">+E49*D49</f>
        <v>0</v>
      </c>
    </row>
    <row r="50" spans="1:6" ht="15.6" x14ac:dyDescent="0.3">
      <c r="A50" s="38" t="s">
        <v>82</v>
      </c>
      <c r="B50" s="41" t="s">
        <v>86</v>
      </c>
      <c r="C50" s="10" t="s">
        <v>78</v>
      </c>
      <c r="D50" s="43">
        <v>8</v>
      </c>
      <c r="E50" s="44"/>
      <c r="F50" s="44">
        <f t="shared" si="1"/>
        <v>0</v>
      </c>
    </row>
    <row r="51" spans="1:6" ht="15.6" x14ac:dyDescent="0.3">
      <c r="A51" s="38" t="s">
        <v>85</v>
      </c>
      <c r="B51" s="41" t="s">
        <v>88</v>
      </c>
      <c r="C51" s="10" t="s">
        <v>78</v>
      </c>
      <c r="D51" s="43">
        <v>2</v>
      </c>
      <c r="E51" s="44"/>
      <c r="F51" s="44">
        <f t="shared" si="1"/>
        <v>0</v>
      </c>
    </row>
    <row r="52" spans="1:6" ht="31.2" x14ac:dyDescent="0.3">
      <c r="A52" s="38" t="s">
        <v>87</v>
      </c>
      <c r="B52" s="41" t="s">
        <v>105</v>
      </c>
      <c r="C52" s="42" t="s">
        <v>78</v>
      </c>
      <c r="D52" s="43">
        <v>3</v>
      </c>
      <c r="E52" s="44"/>
      <c r="F52" s="44">
        <f t="shared" si="1"/>
        <v>0</v>
      </c>
    </row>
    <row r="53" spans="1:6" ht="15.6" x14ac:dyDescent="0.3">
      <c r="A53" s="38" t="s">
        <v>89</v>
      </c>
      <c r="B53" s="41" t="s">
        <v>91</v>
      </c>
      <c r="C53" s="42" t="s">
        <v>78</v>
      </c>
      <c r="D53" s="43">
        <v>4</v>
      </c>
      <c r="E53" s="44"/>
      <c r="F53" s="44">
        <f t="shared" si="1"/>
        <v>0</v>
      </c>
    </row>
    <row r="54" spans="1:6" ht="16.5" customHeight="1" x14ac:dyDescent="0.3">
      <c r="A54" s="38" t="s">
        <v>90</v>
      </c>
      <c r="B54" s="41" t="s">
        <v>93</v>
      </c>
      <c r="C54" s="42" t="s">
        <v>78</v>
      </c>
      <c r="D54" s="45">
        <v>5</v>
      </c>
      <c r="E54" s="46"/>
      <c r="F54" s="46">
        <f t="shared" si="1"/>
        <v>0</v>
      </c>
    </row>
    <row r="55" spans="1:6" ht="31.2" x14ac:dyDescent="0.3">
      <c r="A55" s="38" t="s">
        <v>92</v>
      </c>
      <c r="B55" s="41" t="s">
        <v>95</v>
      </c>
      <c r="C55" s="42" t="s">
        <v>78</v>
      </c>
      <c r="D55" s="45">
        <v>4</v>
      </c>
      <c r="E55" s="46"/>
      <c r="F55" s="46">
        <f t="shared" si="1"/>
        <v>0</v>
      </c>
    </row>
    <row r="56" spans="1:6" ht="15.6" x14ac:dyDescent="0.3">
      <c r="A56" s="38"/>
      <c r="B56" s="48" t="s">
        <v>96</v>
      </c>
      <c r="C56" s="38"/>
      <c r="D56" s="39"/>
      <c r="E56" s="49"/>
      <c r="F56" s="50">
        <f>SUM(F49:F55)</f>
        <v>0</v>
      </c>
    </row>
    <row r="57" spans="1:6" x14ac:dyDescent="0.3">
      <c r="A57" s="6" t="s">
        <v>97</v>
      </c>
      <c r="B57" s="7" t="s">
        <v>98</v>
      </c>
      <c r="C57" s="8"/>
      <c r="D57" s="8"/>
      <c r="E57" s="8"/>
      <c r="F57" s="9"/>
    </row>
    <row r="58" spans="1:6" ht="15.6" x14ac:dyDescent="0.3">
      <c r="A58" s="10" t="s">
        <v>99</v>
      </c>
      <c r="B58" s="25" t="s">
        <v>106</v>
      </c>
      <c r="C58" s="16" t="s">
        <v>11</v>
      </c>
      <c r="D58" s="28">
        <f>+(6.5*2+5*2)*3</f>
        <v>69</v>
      </c>
      <c r="E58" s="18"/>
      <c r="F58" s="18">
        <f>E58*D58</f>
        <v>0</v>
      </c>
    </row>
    <row r="59" spans="1:6" ht="15.6" x14ac:dyDescent="0.3">
      <c r="A59" s="10" t="s">
        <v>101</v>
      </c>
      <c r="B59" s="25" t="s">
        <v>102</v>
      </c>
      <c r="C59" s="16" t="s">
        <v>11</v>
      </c>
      <c r="D59" s="28">
        <f>+D41</f>
        <v>30</v>
      </c>
      <c r="E59" s="18"/>
      <c r="F59" s="18">
        <f>E59*D59</f>
        <v>0</v>
      </c>
    </row>
    <row r="60" spans="1:6" x14ac:dyDescent="0.3">
      <c r="A60" s="7"/>
      <c r="B60" s="21" t="s">
        <v>103</v>
      </c>
      <c r="C60" s="7"/>
      <c r="D60" s="7"/>
      <c r="E60" s="7"/>
      <c r="F60" s="22">
        <f>SUM(F58:F59)</f>
        <v>0</v>
      </c>
    </row>
    <row r="61" spans="1:6" x14ac:dyDescent="0.3">
      <c r="A61" s="81" t="s">
        <v>141</v>
      </c>
      <c r="B61" s="81"/>
      <c r="C61" s="81"/>
      <c r="D61" s="81"/>
      <c r="E61" s="81"/>
      <c r="F61" s="51">
        <f>+F11+F18+F23+F31+F35+F42+F47+F56+F60</f>
        <v>0</v>
      </c>
    </row>
  </sheetData>
  <mergeCells count="4">
    <mergeCell ref="A2:F2"/>
    <mergeCell ref="A3:F3"/>
    <mergeCell ref="A4:F4"/>
    <mergeCell ref="A61:E61"/>
  </mergeCells>
  <phoneticPr fontId="15" type="noConversion"/>
  <pageMargins left="0.62992125984251968" right="0.55118110236220474" top="0.59055118110236227" bottom="0.62992125984251968" header="0.31496062992125984" footer="0.31496062992125984"/>
  <pageSetup paperSize="9" scale="97" orientation="portrait" r:id="rId1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EF2C-01E2-4FF7-B7AE-E5BC780459BB}">
  <dimension ref="A1:G71"/>
  <sheetViews>
    <sheetView topLeftCell="A47" zoomScale="120" zoomScaleNormal="120" workbookViewId="0">
      <selection activeCell="B32" sqref="B32"/>
    </sheetView>
  </sheetViews>
  <sheetFormatPr baseColWidth="10" defaultRowHeight="14.4" x14ac:dyDescent="0.3"/>
  <cols>
    <col min="1" max="1" width="5.109375" customWidth="1"/>
    <col min="2" max="2" width="46.6640625" customWidth="1"/>
    <col min="3" max="3" width="6.5546875" customWidth="1"/>
    <col min="4" max="4" width="11.33203125" customWidth="1"/>
    <col min="5" max="5" width="10.88671875" style="1" customWidth="1"/>
    <col min="6" max="6" width="12.44140625" style="1" customWidth="1"/>
    <col min="7" max="7" width="11.44140625" style="2"/>
  </cols>
  <sheetData>
    <row r="1" spans="1:6" ht="10.5" hidden="1" customHeight="1" x14ac:dyDescent="0.3"/>
    <row r="2" spans="1:6" ht="18.75" customHeight="1" x14ac:dyDescent="0.3">
      <c r="A2" s="78" t="s">
        <v>107</v>
      </c>
      <c r="B2" s="78"/>
      <c r="C2" s="78"/>
      <c r="D2" s="78"/>
      <c r="E2" s="78"/>
      <c r="F2" s="78"/>
    </row>
    <row r="3" spans="1:6" ht="15.6" x14ac:dyDescent="0.3">
      <c r="A3" s="79" t="s">
        <v>0</v>
      </c>
      <c r="B3" s="79"/>
      <c r="C3" s="79"/>
      <c r="D3" s="79"/>
      <c r="E3" s="79"/>
      <c r="F3" s="79"/>
    </row>
    <row r="4" spans="1:6" ht="15.6" x14ac:dyDescent="0.3">
      <c r="A4" s="80" t="s">
        <v>154</v>
      </c>
      <c r="B4" s="80"/>
      <c r="C4" s="80"/>
      <c r="D4" s="80"/>
      <c r="E4" s="80"/>
      <c r="F4" s="80"/>
    </row>
    <row r="5" spans="1:6" ht="20.25" customHeight="1" x14ac:dyDescent="0.3">
      <c r="A5" s="3" t="s">
        <v>1</v>
      </c>
      <c r="B5" s="3" t="s">
        <v>2</v>
      </c>
      <c r="C5" s="3" t="s">
        <v>3</v>
      </c>
      <c r="D5" s="4" t="s">
        <v>4</v>
      </c>
      <c r="E5" s="5" t="s">
        <v>5</v>
      </c>
      <c r="F5" s="5" t="s">
        <v>6</v>
      </c>
    </row>
    <row r="6" spans="1:6" x14ac:dyDescent="0.3">
      <c r="A6" s="6" t="s">
        <v>7</v>
      </c>
      <c r="B6" s="7" t="s">
        <v>8</v>
      </c>
      <c r="C6" s="8"/>
      <c r="D6" s="8"/>
      <c r="E6" s="8"/>
      <c r="F6" s="9"/>
    </row>
    <row r="7" spans="1:6" ht="48" customHeight="1" x14ac:dyDescent="0.3">
      <c r="A7" s="10" t="s">
        <v>9</v>
      </c>
      <c r="B7" s="11" t="s">
        <v>10</v>
      </c>
      <c r="C7" s="10" t="s">
        <v>11</v>
      </c>
      <c r="D7" s="12">
        <f>4.2*3.5+3.5*1.5</f>
        <v>19.950000000000003</v>
      </c>
      <c r="E7" s="13"/>
      <c r="F7" s="14">
        <f>+E7*D7</f>
        <v>0</v>
      </c>
    </row>
    <row r="8" spans="1:6" ht="15.6" x14ac:dyDescent="0.3">
      <c r="A8" s="10" t="s">
        <v>12</v>
      </c>
      <c r="B8" s="15" t="s">
        <v>13</v>
      </c>
      <c r="C8" s="16" t="s">
        <v>14</v>
      </c>
      <c r="D8" s="17">
        <f>0.4*(3.5*2+4.2*2+1.5*2+3.5)*1</f>
        <v>8.76</v>
      </c>
      <c r="E8" s="14"/>
      <c r="F8" s="18">
        <f>E8*D8</f>
        <v>0</v>
      </c>
    </row>
    <row r="9" spans="1:6" ht="15.6" x14ac:dyDescent="0.3">
      <c r="A9" s="10" t="s">
        <v>15</v>
      </c>
      <c r="B9" s="15" t="s">
        <v>16</v>
      </c>
      <c r="C9" s="16" t="s">
        <v>14</v>
      </c>
      <c r="D9" s="19">
        <f>0.2*0.75*(15.4+1.5*2+3.5)</f>
        <v>3.2850000000000001</v>
      </c>
      <c r="E9" s="14"/>
      <c r="F9" s="18">
        <f>E9*D9</f>
        <v>0</v>
      </c>
    </row>
    <row r="10" spans="1:6" ht="27.6" x14ac:dyDescent="0.3">
      <c r="A10" s="10" t="s">
        <v>17</v>
      </c>
      <c r="B10" s="15" t="s">
        <v>18</v>
      </c>
      <c r="C10" s="16" t="s">
        <v>14</v>
      </c>
      <c r="D10" s="19">
        <f>0.25*3.5*4.2+0.25*(1.5*3.5)</f>
        <v>4.9875000000000007</v>
      </c>
      <c r="E10" s="20"/>
      <c r="F10" s="18">
        <f>E10*D10</f>
        <v>0</v>
      </c>
    </row>
    <row r="11" spans="1:6" x14ac:dyDescent="0.3">
      <c r="A11" s="7"/>
      <c r="B11" s="21" t="s">
        <v>19</v>
      </c>
      <c r="C11" s="7"/>
      <c r="D11" s="7"/>
      <c r="E11" s="7"/>
      <c r="F11" s="22">
        <f>SUM(F7:F10)</f>
        <v>0</v>
      </c>
    </row>
    <row r="12" spans="1:6" ht="15.6" x14ac:dyDescent="0.3">
      <c r="A12" s="6" t="s">
        <v>20</v>
      </c>
      <c r="B12" s="23" t="s">
        <v>21</v>
      </c>
      <c r="C12" s="8"/>
      <c r="D12" s="8"/>
      <c r="E12" s="8"/>
      <c r="F12" s="9"/>
    </row>
    <row r="13" spans="1:6" ht="15.6" x14ac:dyDescent="0.3">
      <c r="A13" s="10" t="s">
        <v>22</v>
      </c>
      <c r="B13" s="24" t="s">
        <v>23</v>
      </c>
      <c r="C13" s="16" t="s">
        <v>14</v>
      </c>
      <c r="D13" s="19">
        <f>(15.4+1.5*2+3.5)*0.4*0.05</f>
        <v>0.438</v>
      </c>
      <c r="E13" s="14"/>
      <c r="F13" s="18">
        <f>E13*D13</f>
        <v>0</v>
      </c>
    </row>
    <row r="14" spans="1:6" ht="16.5" customHeight="1" x14ac:dyDescent="0.3">
      <c r="A14" s="10" t="s">
        <v>24</v>
      </c>
      <c r="B14" s="25" t="s">
        <v>25</v>
      </c>
      <c r="C14" s="16" t="s">
        <v>14</v>
      </c>
      <c r="D14" s="19">
        <f>0.4*0.2*(15.4+1.5*2+3.5)</f>
        <v>1.7520000000000002</v>
      </c>
      <c r="E14" s="26"/>
      <c r="F14" s="18">
        <f>E14*D14</f>
        <v>0</v>
      </c>
    </row>
    <row r="15" spans="1:6" ht="15.6" x14ac:dyDescent="0.3">
      <c r="A15" s="10" t="s">
        <v>26</v>
      </c>
      <c r="B15" s="25" t="s">
        <v>27</v>
      </c>
      <c r="C15" s="16" t="s">
        <v>11</v>
      </c>
      <c r="D15" s="19">
        <f>+(4.2*2+3.5*2+1.5*2+3.5)*1</f>
        <v>21.9</v>
      </c>
      <c r="E15" s="18"/>
      <c r="F15" s="18">
        <f>E15*D15</f>
        <v>0</v>
      </c>
    </row>
    <row r="16" spans="1:6" ht="31.2" x14ac:dyDescent="0.3">
      <c r="A16" s="10" t="s">
        <v>28</v>
      </c>
      <c r="B16" s="25" t="s">
        <v>29</v>
      </c>
      <c r="C16" s="16" t="s">
        <v>14</v>
      </c>
      <c r="D16" s="19">
        <f>6*0.2*0.2*1.2</f>
        <v>0.28800000000000003</v>
      </c>
      <c r="E16" s="26"/>
      <c r="F16" s="18">
        <f>E16*D16</f>
        <v>0</v>
      </c>
    </row>
    <row r="17" spans="1:6" ht="15.6" x14ac:dyDescent="0.3">
      <c r="A17" s="10" t="s">
        <v>30</v>
      </c>
      <c r="B17" s="25" t="s">
        <v>31</v>
      </c>
      <c r="C17" s="16" t="s">
        <v>14</v>
      </c>
      <c r="D17" s="19">
        <f>(15.4+1.5*2+3.5)*0.2*0.2</f>
        <v>0.876</v>
      </c>
      <c r="E17" s="26"/>
      <c r="F17" s="18">
        <f>E17*D17</f>
        <v>0</v>
      </c>
    </row>
    <row r="18" spans="1:6" x14ac:dyDescent="0.3">
      <c r="A18" s="7"/>
      <c r="B18" s="21" t="s">
        <v>32</v>
      </c>
      <c r="C18" s="7"/>
      <c r="D18" s="7"/>
      <c r="E18" s="7"/>
      <c r="F18" s="22">
        <f>SUM(F13:F17)</f>
        <v>0</v>
      </c>
    </row>
    <row r="19" spans="1:6" x14ac:dyDescent="0.3">
      <c r="A19" s="6" t="s">
        <v>33</v>
      </c>
      <c r="B19" s="7" t="s">
        <v>34</v>
      </c>
      <c r="C19" s="8"/>
      <c r="D19" s="8"/>
      <c r="E19" s="8"/>
      <c r="F19" s="9"/>
    </row>
    <row r="20" spans="1:6" x14ac:dyDescent="0.3">
      <c r="A20" s="16" t="s">
        <v>35</v>
      </c>
      <c r="B20" s="27" t="s">
        <v>36</v>
      </c>
      <c r="C20" s="16" t="s">
        <v>11</v>
      </c>
      <c r="D20" s="28">
        <f>4.2*3.5+3.5*1.5</f>
        <v>19.950000000000003</v>
      </c>
      <c r="E20" s="9"/>
      <c r="F20" s="18">
        <f>D20*E20</f>
        <v>0</v>
      </c>
    </row>
    <row r="21" spans="1:6" ht="31.2" x14ac:dyDescent="0.3">
      <c r="A21" s="16" t="s">
        <v>37</v>
      </c>
      <c r="B21" s="29" t="s">
        <v>38</v>
      </c>
      <c r="C21" s="16" t="s">
        <v>14</v>
      </c>
      <c r="D21" s="19">
        <f>3.5*4.2*0.1+1.5*3.5*0.1</f>
        <v>1.9950000000000001</v>
      </c>
      <c r="E21" s="30"/>
      <c r="F21" s="18">
        <f>E21*D21</f>
        <v>0</v>
      </c>
    </row>
    <row r="22" spans="1:6" ht="27.6" x14ac:dyDescent="0.3">
      <c r="A22" s="16" t="s">
        <v>39</v>
      </c>
      <c r="B22" s="15" t="s">
        <v>40</v>
      </c>
      <c r="C22" s="16" t="s">
        <v>14</v>
      </c>
      <c r="D22" s="19">
        <v>0.28999999999999998</v>
      </c>
      <c r="E22" s="26"/>
      <c r="F22" s="18">
        <f>E22*D22</f>
        <v>0</v>
      </c>
    </row>
    <row r="23" spans="1:6" ht="17.100000000000001" customHeight="1" x14ac:dyDescent="0.3">
      <c r="A23" s="7"/>
      <c r="B23" s="21" t="s">
        <v>41</v>
      </c>
      <c r="C23" s="7"/>
      <c r="D23" s="7"/>
      <c r="E23" s="7"/>
      <c r="F23" s="22">
        <f>SUM(F20:F22)</f>
        <v>0</v>
      </c>
    </row>
    <row r="24" spans="1:6" x14ac:dyDescent="0.3">
      <c r="A24" s="6" t="s">
        <v>42</v>
      </c>
      <c r="B24" s="7" t="s">
        <v>43</v>
      </c>
      <c r="C24" s="8"/>
      <c r="D24" s="8"/>
      <c r="E24" s="8"/>
      <c r="F24" s="9"/>
    </row>
    <row r="25" spans="1:6" ht="15.6" x14ac:dyDescent="0.3">
      <c r="A25" s="16" t="s">
        <v>44</v>
      </c>
      <c r="B25" s="15" t="s">
        <v>45</v>
      </c>
      <c r="C25" s="16" t="s">
        <v>11</v>
      </c>
      <c r="D25" s="28">
        <f>4.2*15.4</f>
        <v>64.680000000000007</v>
      </c>
      <c r="E25" s="31"/>
      <c r="F25" s="18">
        <f t="shared" ref="F25:F30" si="0">E25*D25</f>
        <v>0</v>
      </c>
    </row>
    <row r="26" spans="1:6" ht="16.5" customHeight="1" x14ac:dyDescent="0.3">
      <c r="A26" s="16" t="s">
        <v>46</v>
      </c>
      <c r="B26" s="25" t="s">
        <v>47</v>
      </c>
      <c r="C26" s="16" t="s">
        <v>14</v>
      </c>
      <c r="D26" s="19">
        <f>15.4*0.15*0.2</f>
        <v>0.46200000000000002</v>
      </c>
      <c r="E26" s="26"/>
      <c r="F26" s="18">
        <f t="shared" si="0"/>
        <v>0</v>
      </c>
    </row>
    <row r="27" spans="1:6" ht="31.2" x14ac:dyDescent="0.3">
      <c r="A27" s="16" t="s">
        <v>48</v>
      </c>
      <c r="B27" s="25" t="s">
        <v>49</v>
      </c>
      <c r="C27" s="16" t="s">
        <v>14</v>
      </c>
      <c r="D27" s="19">
        <f>7*0.2*0.2</f>
        <v>0.28000000000000003</v>
      </c>
      <c r="E27" s="26"/>
      <c r="F27" s="18">
        <f t="shared" si="0"/>
        <v>0</v>
      </c>
    </row>
    <row r="28" spans="1:6" ht="15" customHeight="1" x14ac:dyDescent="0.3">
      <c r="A28" s="16" t="s">
        <v>50</v>
      </c>
      <c r="B28" s="52" t="s">
        <v>51</v>
      </c>
      <c r="C28" s="16" t="s">
        <v>14</v>
      </c>
      <c r="D28" s="17">
        <f>4.2*0.15*0.15*4</f>
        <v>0.378</v>
      </c>
      <c r="E28" s="26"/>
      <c r="F28" s="18">
        <f t="shared" si="0"/>
        <v>0</v>
      </c>
    </row>
    <row r="29" spans="1:6" ht="19.5" customHeight="1" x14ac:dyDescent="0.3">
      <c r="A29" s="16" t="s">
        <v>52</v>
      </c>
      <c r="B29" s="25" t="s">
        <v>53</v>
      </c>
      <c r="C29" s="16" t="s">
        <v>14</v>
      </c>
      <c r="D29" s="17">
        <f>0.1*0.15*(15.4-1)</f>
        <v>0.216</v>
      </c>
      <c r="E29" s="26"/>
      <c r="F29" s="18">
        <f t="shared" si="0"/>
        <v>0</v>
      </c>
    </row>
    <row r="30" spans="1:6" ht="31.2" x14ac:dyDescent="0.3">
      <c r="A30" s="16" t="s">
        <v>54</v>
      </c>
      <c r="B30" s="25" t="s">
        <v>55</v>
      </c>
      <c r="C30" s="10" t="s">
        <v>14</v>
      </c>
      <c r="D30" s="32">
        <f>+(0.45+0.5*2)*0.1*3.5</f>
        <v>0.50749999999999995</v>
      </c>
      <c r="E30" s="26"/>
      <c r="F30" s="14">
        <f t="shared" si="0"/>
        <v>0</v>
      </c>
    </row>
    <row r="31" spans="1:6" x14ac:dyDescent="0.3">
      <c r="A31" s="7"/>
      <c r="B31" s="21" t="s">
        <v>56</v>
      </c>
      <c r="C31" s="7"/>
      <c r="D31" s="7"/>
      <c r="E31" s="7"/>
      <c r="F31" s="22">
        <f>SUM(F25:F30)</f>
        <v>0</v>
      </c>
    </row>
    <row r="32" spans="1:6" x14ac:dyDescent="0.3">
      <c r="A32" s="6" t="s">
        <v>57</v>
      </c>
      <c r="B32" s="7" t="s">
        <v>150</v>
      </c>
      <c r="C32" s="8"/>
      <c r="D32" s="8"/>
      <c r="E32" s="8"/>
      <c r="F32" s="9"/>
    </row>
    <row r="33" spans="1:6" ht="16.5" customHeight="1" x14ac:dyDescent="0.3">
      <c r="A33" s="10" t="s">
        <v>59</v>
      </c>
      <c r="B33" s="33" t="s">
        <v>60</v>
      </c>
      <c r="C33" s="16" t="s">
        <v>11</v>
      </c>
      <c r="D33" s="34">
        <f>15.4*(3.5+4.5)</f>
        <v>123.2</v>
      </c>
      <c r="E33" s="18"/>
      <c r="F33" s="18">
        <f>D33*E33</f>
        <v>0</v>
      </c>
    </row>
    <row r="34" spans="1:6" ht="15.6" x14ac:dyDescent="0.3">
      <c r="A34" s="10" t="s">
        <v>61</v>
      </c>
      <c r="B34" s="33" t="s">
        <v>62</v>
      </c>
      <c r="C34" s="16" t="s">
        <v>11</v>
      </c>
      <c r="D34" s="34">
        <f>15.4*4.5</f>
        <v>69.3</v>
      </c>
      <c r="E34" s="18"/>
      <c r="F34" s="18">
        <f>D34*E34</f>
        <v>0</v>
      </c>
    </row>
    <row r="35" spans="1:6" x14ac:dyDescent="0.3">
      <c r="A35" s="7"/>
      <c r="B35" s="21" t="s">
        <v>63</v>
      </c>
      <c r="C35" s="7"/>
      <c r="D35" s="7"/>
      <c r="E35" s="7"/>
      <c r="F35" s="22">
        <f>SUM(F33:F34)</f>
        <v>0</v>
      </c>
    </row>
    <row r="36" spans="1:6" x14ac:dyDescent="0.3">
      <c r="A36" s="6" t="s">
        <v>64</v>
      </c>
      <c r="B36" s="7" t="s">
        <v>65</v>
      </c>
      <c r="C36" s="8"/>
      <c r="D36" s="8"/>
      <c r="E36" s="8"/>
      <c r="F36" s="9"/>
    </row>
    <row r="37" spans="1:6" x14ac:dyDescent="0.3">
      <c r="A37" s="16" t="s">
        <v>66</v>
      </c>
      <c r="B37" s="15" t="s">
        <v>67</v>
      </c>
      <c r="C37" s="16" t="s">
        <v>68</v>
      </c>
      <c r="D37" s="28">
        <f>3.8*6</f>
        <v>22.799999999999997</v>
      </c>
      <c r="E37" s="18"/>
      <c r="F37" s="18">
        <f>E37*D37</f>
        <v>0</v>
      </c>
    </row>
    <row r="38" spans="1:6" ht="17.100000000000001" customHeight="1" x14ac:dyDescent="0.3">
      <c r="A38" s="16" t="s">
        <v>69</v>
      </c>
      <c r="B38" s="15" t="s">
        <v>70</v>
      </c>
      <c r="C38" s="16" t="s">
        <v>11</v>
      </c>
      <c r="D38" s="28">
        <f>4.6*3.8+3.5*1.5</f>
        <v>22.729999999999997</v>
      </c>
      <c r="E38" s="18"/>
      <c r="F38" s="18">
        <f>E38*D38</f>
        <v>0</v>
      </c>
    </row>
    <row r="39" spans="1:6" x14ac:dyDescent="0.3">
      <c r="A39" s="16" t="s">
        <v>71</v>
      </c>
      <c r="B39" s="15" t="s">
        <v>72</v>
      </c>
      <c r="C39" s="16" t="s">
        <v>68</v>
      </c>
      <c r="D39" s="28">
        <f>+D37</f>
        <v>22.799999999999997</v>
      </c>
      <c r="E39" s="18"/>
      <c r="F39" s="18">
        <f>E39*D39</f>
        <v>0</v>
      </c>
    </row>
    <row r="40" spans="1:6" x14ac:dyDescent="0.3">
      <c r="A40" s="16" t="s">
        <v>73</v>
      </c>
      <c r="B40" s="15" t="s">
        <v>74</v>
      </c>
      <c r="C40" s="16" t="s">
        <v>11</v>
      </c>
      <c r="D40" s="28">
        <f>3.5*4.2</f>
        <v>14.700000000000001</v>
      </c>
      <c r="E40" s="18"/>
      <c r="F40" s="18">
        <f>E40*D40</f>
        <v>0</v>
      </c>
    </row>
    <row r="41" spans="1:6" x14ac:dyDescent="0.3">
      <c r="A41" s="7"/>
      <c r="B41" s="21" t="s">
        <v>75</v>
      </c>
      <c r="C41" s="7"/>
      <c r="D41" s="7"/>
      <c r="E41" s="7"/>
      <c r="F41" s="22">
        <f>SUM(F37:F40)</f>
        <v>0</v>
      </c>
    </row>
    <row r="42" spans="1:6" x14ac:dyDescent="0.3">
      <c r="A42" s="6" t="s">
        <v>76</v>
      </c>
      <c r="B42" s="7" t="s">
        <v>104</v>
      </c>
      <c r="C42" s="8"/>
      <c r="D42" s="8"/>
      <c r="E42" s="8"/>
      <c r="F42" s="9"/>
    </row>
    <row r="43" spans="1:6" ht="41.4" x14ac:dyDescent="0.3">
      <c r="A43" s="16" t="s">
        <v>77</v>
      </c>
      <c r="B43" s="15" t="s">
        <v>158</v>
      </c>
      <c r="C43" s="77" t="s">
        <v>78</v>
      </c>
      <c r="D43" s="77">
        <v>1</v>
      </c>
      <c r="E43" s="18"/>
      <c r="F43" s="18">
        <f>E43*D43</f>
        <v>0</v>
      </c>
    </row>
    <row r="44" spans="1:6" ht="27.6" x14ac:dyDescent="0.3">
      <c r="A44" s="16" t="s">
        <v>145</v>
      </c>
      <c r="B44" s="15" t="s">
        <v>159</v>
      </c>
      <c r="C44" s="77" t="s">
        <v>78</v>
      </c>
      <c r="D44" s="77">
        <v>2</v>
      </c>
      <c r="E44" s="18"/>
      <c r="F44" s="18">
        <f>E44*D44</f>
        <v>0</v>
      </c>
    </row>
    <row r="45" spans="1:6" ht="27.6" x14ac:dyDescent="0.3">
      <c r="A45" s="16" t="s">
        <v>146</v>
      </c>
      <c r="B45" s="15" t="s">
        <v>160</v>
      </c>
      <c r="C45" s="77" t="s">
        <v>68</v>
      </c>
      <c r="D45" s="77">
        <v>6.5</v>
      </c>
      <c r="E45" s="18"/>
      <c r="F45" s="18">
        <f t="shared" ref="F45" si="1">E45*D45</f>
        <v>0</v>
      </c>
    </row>
    <row r="46" spans="1:6" x14ac:dyDescent="0.3">
      <c r="A46" s="7"/>
      <c r="B46" s="21" t="s">
        <v>79</v>
      </c>
      <c r="C46" s="7"/>
      <c r="D46" s="7"/>
      <c r="E46" s="7"/>
      <c r="F46" s="22">
        <f>SUM(F43:F45)</f>
        <v>0</v>
      </c>
    </row>
    <row r="47" spans="1:6" ht="15.6" x14ac:dyDescent="0.3">
      <c r="A47" s="36" t="s">
        <v>80</v>
      </c>
      <c r="B47" s="37" t="s">
        <v>81</v>
      </c>
      <c r="C47" s="38"/>
      <c r="D47" s="39"/>
      <c r="E47" s="40"/>
      <c r="F47" s="40"/>
    </row>
    <row r="48" spans="1:6" ht="31.2" x14ac:dyDescent="0.3">
      <c r="A48" s="38" t="s">
        <v>82</v>
      </c>
      <c r="B48" s="41" t="s">
        <v>83</v>
      </c>
      <c r="C48" s="42" t="s">
        <v>84</v>
      </c>
      <c r="D48" s="43">
        <v>1</v>
      </c>
      <c r="E48" s="44"/>
      <c r="F48" s="44">
        <f t="shared" ref="F48:F53" si="2">+E48*D48</f>
        <v>0</v>
      </c>
    </row>
    <row r="49" spans="1:6" ht="15.6" x14ac:dyDescent="0.3">
      <c r="A49" s="38" t="s">
        <v>85</v>
      </c>
      <c r="B49" s="41" t="s">
        <v>86</v>
      </c>
      <c r="C49" s="10" t="s">
        <v>78</v>
      </c>
      <c r="D49" s="43">
        <v>2</v>
      </c>
      <c r="E49" s="44"/>
      <c r="F49" s="44">
        <f t="shared" si="2"/>
        <v>0</v>
      </c>
    </row>
    <row r="50" spans="1:6" ht="15.6" x14ac:dyDescent="0.3">
      <c r="A50" s="38" t="s">
        <v>87</v>
      </c>
      <c r="B50" s="41" t="s">
        <v>88</v>
      </c>
      <c r="C50" s="10" t="s">
        <v>78</v>
      </c>
      <c r="D50" s="43">
        <v>1</v>
      </c>
      <c r="E50" s="44"/>
      <c r="F50" s="44">
        <f t="shared" si="2"/>
        <v>0</v>
      </c>
    </row>
    <row r="51" spans="1:6" ht="31.2" x14ac:dyDescent="0.3">
      <c r="A51" s="38" t="s">
        <v>89</v>
      </c>
      <c r="B51" s="41" t="s">
        <v>105</v>
      </c>
      <c r="C51" s="42" t="s">
        <v>78</v>
      </c>
      <c r="D51" s="43">
        <v>3</v>
      </c>
      <c r="E51" s="44"/>
      <c r="F51" s="44">
        <f t="shared" si="2"/>
        <v>0</v>
      </c>
    </row>
    <row r="52" spans="1:6" ht="16.5" customHeight="1" x14ac:dyDescent="0.3">
      <c r="A52" s="38" t="s">
        <v>92</v>
      </c>
      <c r="B52" s="41" t="s">
        <v>108</v>
      </c>
      <c r="C52" s="42" t="s">
        <v>78</v>
      </c>
      <c r="D52" s="45">
        <v>2</v>
      </c>
      <c r="E52" s="46"/>
      <c r="F52" s="46">
        <f t="shared" si="2"/>
        <v>0</v>
      </c>
    </row>
    <row r="53" spans="1:6" ht="31.2" x14ac:dyDescent="0.3">
      <c r="A53" s="38" t="s">
        <v>94</v>
      </c>
      <c r="B53" s="41" t="s">
        <v>95</v>
      </c>
      <c r="C53" s="42" t="s">
        <v>78</v>
      </c>
      <c r="D53" s="45">
        <v>1</v>
      </c>
      <c r="E53" s="46"/>
      <c r="F53" s="46">
        <f t="shared" si="2"/>
        <v>0</v>
      </c>
    </row>
    <row r="54" spans="1:6" ht="15.6" x14ac:dyDescent="0.3">
      <c r="A54" s="38"/>
      <c r="B54" s="48" t="s">
        <v>96</v>
      </c>
      <c r="C54" s="38"/>
      <c r="D54" s="39"/>
      <c r="E54" s="49"/>
      <c r="F54" s="50">
        <f>SUM(F48:F53)</f>
        <v>0</v>
      </c>
    </row>
    <row r="55" spans="1:6" x14ac:dyDescent="0.3">
      <c r="A55" s="6" t="s">
        <v>97</v>
      </c>
      <c r="B55" s="7" t="s">
        <v>98</v>
      </c>
      <c r="C55" s="8"/>
      <c r="D55" s="8"/>
      <c r="E55" s="8"/>
      <c r="F55" s="9"/>
    </row>
    <row r="56" spans="1:6" ht="15.6" x14ac:dyDescent="0.3">
      <c r="A56" s="10" t="s">
        <v>99</v>
      </c>
      <c r="B56" s="25" t="s">
        <v>106</v>
      </c>
      <c r="C56" s="16" t="s">
        <v>11</v>
      </c>
      <c r="D56" s="28">
        <f>+(4.2*2+3.5*2)*3</f>
        <v>46.2</v>
      </c>
      <c r="E56" s="18"/>
      <c r="F56" s="18">
        <f>E56*D56</f>
        <v>0</v>
      </c>
    </row>
    <row r="57" spans="1:6" ht="15.6" x14ac:dyDescent="0.3">
      <c r="A57" s="10" t="s">
        <v>100</v>
      </c>
      <c r="B57" s="25" t="s">
        <v>102</v>
      </c>
      <c r="C57" s="16" t="s">
        <v>11</v>
      </c>
      <c r="D57" s="28">
        <f>+D40</f>
        <v>14.700000000000001</v>
      </c>
      <c r="E57" s="18"/>
      <c r="F57" s="18">
        <f>E57*D57</f>
        <v>0</v>
      </c>
    </row>
    <row r="58" spans="1:6" x14ac:dyDescent="0.3">
      <c r="A58" s="7"/>
      <c r="B58" s="21" t="s">
        <v>103</v>
      </c>
      <c r="C58" s="7"/>
      <c r="D58" s="7"/>
      <c r="E58" s="7"/>
      <c r="F58" s="22">
        <f>SUM(F56:F57)</f>
        <v>0</v>
      </c>
    </row>
    <row r="59" spans="1:6" x14ac:dyDescent="0.3">
      <c r="A59" s="81" t="s">
        <v>157</v>
      </c>
      <c r="B59" s="81"/>
      <c r="C59" s="81"/>
      <c r="D59" s="81"/>
      <c r="E59" s="81"/>
      <c r="F59" s="51">
        <f>+F11+F18+F23+F31+F35+F41+F46+F54+F58</f>
        <v>0</v>
      </c>
    </row>
    <row r="70" spans="6:6" x14ac:dyDescent="0.3">
      <c r="F70" s="1">
        <f>+F71*3</f>
        <v>0</v>
      </c>
    </row>
    <row r="71" spans="6:6" x14ac:dyDescent="0.3">
      <c r="F71" s="1">
        <f>+F59+Salle_reunion!F61</f>
        <v>0</v>
      </c>
    </row>
  </sheetData>
  <mergeCells count="4">
    <mergeCell ref="A2:F2"/>
    <mergeCell ref="A3:F3"/>
    <mergeCell ref="A4:F4"/>
    <mergeCell ref="A59:E59"/>
  </mergeCells>
  <phoneticPr fontId="15" type="noConversion"/>
  <pageMargins left="0.62992125984251968" right="0.55118110236220474" top="0.59055118110236227" bottom="0.62992125984251968" header="0.31496062992125984" footer="0.31496062992125984"/>
  <pageSetup paperSize="9" scale="97" orientation="portrait" r:id="rId1"/>
  <headerFooter>
    <oddFooter>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330FC-60C4-43CB-A88B-21350992A3E5}">
  <dimension ref="A1:G60"/>
  <sheetViews>
    <sheetView topLeftCell="A62" zoomScale="120" zoomScaleNormal="120" workbookViewId="0">
      <selection activeCell="B32" sqref="B32"/>
    </sheetView>
  </sheetViews>
  <sheetFormatPr baseColWidth="10" defaultRowHeight="14.4" x14ac:dyDescent="0.3"/>
  <cols>
    <col min="1" max="1" width="5.109375" customWidth="1"/>
    <col min="2" max="2" width="46.6640625" customWidth="1"/>
    <col min="3" max="3" width="6.5546875" customWidth="1"/>
    <col min="4" max="4" width="11.33203125" customWidth="1"/>
    <col min="5" max="5" width="10.88671875" style="1" customWidth="1"/>
    <col min="6" max="6" width="12.44140625" style="1" customWidth="1"/>
    <col min="7" max="7" width="11.44140625" style="2"/>
  </cols>
  <sheetData>
    <row r="1" spans="1:6" ht="10.5" hidden="1" customHeight="1" x14ac:dyDescent="0.3"/>
    <row r="2" spans="1:6" ht="18.75" customHeight="1" x14ac:dyDescent="0.3">
      <c r="A2" s="78" t="s">
        <v>107</v>
      </c>
      <c r="B2" s="78"/>
      <c r="C2" s="78"/>
      <c r="D2" s="78"/>
      <c r="E2" s="78"/>
      <c r="F2" s="78"/>
    </row>
    <row r="3" spans="1:6" ht="15.6" x14ac:dyDescent="0.3">
      <c r="A3" s="79" t="s">
        <v>0</v>
      </c>
      <c r="B3" s="79"/>
      <c r="C3" s="79"/>
      <c r="D3" s="79"/>
      <c r="E3" s="79"/>
      <c r="F3" s="79"/>
    </row>
    <row r="4" spans="1:6" ht="15.6" x14ac:dyDescent="0.3">
      <c r="A4" s="80" t="s">
        <v>153</v>
      </c>
      <c r="B4" s="80"/>
      <c r="C4" s="80"/>
      <c r="D4" s="80"/>
      <c r="E4" s="80"/>
      <c r="F4" s="80"/>
    </row>
    <row r="5" spans="1:6" ht="20.25" customHeight="1" x14ac:dyDescent="0.3">
      <c r="A5" s="3" t="s">
        <v>1</v>
      </c>
      <c r="B5" s="3" t="s">
        <v>2</v>
      </c>
      <c r="C5" s="3" t="s">
        <v>3</v>
      </c>
      <c r="D5" s="4" t="s">
        <v>4</v>
      </c>
      <c r="E5" s="5" t="s">
        <v>5</v>
      </c>
      <c r="F5" s="5" t="s">
        <v>6</v>
      </c>
    </row>
    <row r="6" spans="1:6" x14ac:dyDescent="0.3">
      <c r="A6" s="6" t="s">
        <v>7</v>
      </c>
      <c r="B6" s="7" t="s">
        <v>8</v>
      </c>
      <c r="C6" s="8"/>
      <c r="D6" s="8"/>
      <c r="E6" s="8"/>
      <c r="F6" s="9"/>
    </row>
    <row r="7" spans="1:6" ht="48" customHeight="1" x14ac:dyDescent="0.3">
      <c r="A7" s="10" t="s">
        <v>9</v>
      </c>
      <c r="B7" s="11" t="s">
        <v>10</v>
      </c>
      <c r="C7" s="10" t="s">
        <v>11</v>
      </c>
      <c r="D7" s="12">
        <f>3*4+1.2*3</f>
        <v>15.6</v>
      </c>
      <c r="E7" s="13"/>
      <c r="F7" s="14">
        <f>+E7*D7</f>
        <v>0</v>
      </c>
    </row>
    <row r="8" spans="1:6" ht="15.6" x14ac:dyDescent="0.3">
      <c r="A8" s="10" t="s">
        <v>12</v>
      </c>
      <c r="B8" s="15" t="s">
        <v>13</v>
      </c>
      <c r="C8" s="16" t="s">
        <v>14</v>
      </c>
      <c r="D8" s="17">
        <f>0.4*18*1</f>
        <v>7.2</v>
      </c>
      <c r="E8" s="14"/>
      <c r="F8" s="18">
        <f>E8*D8</f>
        <v>0</v>
      </c>
    </row>
    <row r="9" spans="1:6" ht="15.6" x14ac:dyDescent="0.3">
      <c r="A9" s="10" t="s">
        <v>15</v>
      </c>
      <c r="B9" s="15" t="s">
        <v>16</v>
      </c>
      <c r="C9" s="16" t="s">
        <v>14</v>
      </c>
      <c r="D9" s="19">
        <f>0.2*0.75*18</f>
        <v>2.7</v>
      </c>
      <c r="E9" s="14"/>
      <c r="F9" s="18">
        <f>E9*D9</f>
        <v>0</v>
      </c>
    </row>
    <row r="10" spans="1:6" ht="27.6" x14ac:dyDescent="0.3">
      <c r="A10" s="10" t="s">
        <v>17</v>
      </c>
      <c r="B10" s="15" t="s">
        <v>18</v>
      </c>
      <c r="C10" s="16" t="s">
        <v>14</v>
      </c>
      <c r="D10" s="19">
        <f>0.25*4*3+0.25*1.4*3</f>
        <v>4.05</v>
      </c>
      <c r="E10" s="20"/>
      <c r="F10" s="18">
        <f>E10*D10</f>
        <v>0</v>
      </c>
    </row>
    <row r="11" spans="1:6" x14ac:dyDescent="0.3">
      <c r="A11" s="7"/>
      <c r="B11" s="21" t="s">
        <v>19</v>
      </c>
      <c r="C11" s="7"/>
      <c r="D11" s="7"/>
      <c r="E11" s="7"/>
      <c r="F11" s="22">
        <f>SUM(F7:F10)</f>
        <v>0</v>
      </c>
    </row>
    <row r="12" spans="1:6" ht="15.6" x14ac:dyDescent="0.3">
      <c r="A12" s="6" t="s">
        <v>20</v>
      </c>
      <c r="B12" s="23" t="s">
        <v>21</v>
      </c>
      <c r="C12" s="8"/>
      <c r="D12" s="8"/>
      <c r="E12" s="8"/>
      <c r="F12" s="9"/>
    </row>
    <row r="13" spans="1:6" ht="15.6" x14ac:dyDescent="0.3">
      <c r="A13" s="10" t="s">
        <v>22</v>
      </c>
      <c r="B13" s="24" t="s">
        <v>23</v>
      </c>
      <c r="C13" s="16" t="s">
        <v>14</v>
      </c>
      <c r="D13" s="19">
        <f>+(3*2+4*2+3+1.4*2)*0.4*0.05</f>
        <v>0.39600000000000007</v>
      </c>
      <c r="E13" s="14"/>
      <c r="F13" s="18">
        <f>E13*D13</f>
        <v>0</v>
      </c>
    </row>
    <row r="14" spans="1:6" ht="16.5" customHeight="1" x14ac:dyDescent="0.3">
      <c r="A14" s="10" t="s">
        <v>24</v>
      </c>
      <c r="B14" s="25" t="s">
        <v>25</v>
      </c>
      <c r="C14" s="16" t="s">
        <v>14</v>
      </c>
      <c r="D14" s="19">
        <f>0.4*0.2*(3*3+4*2+1.4*2)</f>
        <v>1.5840000000000003</v>
      </c>
      <c r="E14" s="26"/>
      <c r="F14" s="18">
        <f>E14*D14</f>
        <v>0</v>
      </c>
    </row>
    <row r="15" spans="1:6" ht="15.6" x14ac:dyDescent="0.3">
      <c r="A15" s="10" t="s">
        <v>26</v>
      </c>
      <c r="B15" s="25" t="s">
        <v>27</v>
      </c>
      <c r="C15" s="16" t="s">
        <v>11</v>
      </c>
      <c r="D15" s="19">
        <f>+(3*3+4*2+1.4*2)*1</f>
        <v>19.8</v>
      </c>
      <c r="E15" s="18"/>
      <c r="F15" s="18">
        <f>E15*D15</f>
        <v>0</v>
      </c>
    </row>
    <row r="16" spans="1:6" ht="31.2" x14ac:dyDescent="0.3">
      <c r="A16" s="10" t="s">
        <v>28</v>
      </c>
      <c r="B16" s="25" t="s">
        <v>29</v>
      </c>
      <c r="C16" s="16" t="s">
        <v>14</v>
      </c>
      <c r="D16" s="19">
        <f>6*0.2*0.2*1.2</f>
        <v>0.28800000000000003</v>
      </c>
      <c r="E16" s="26"/>
      <c r="F16" s="18">
        <f>E16*D16</f>
        <v>0</v>
      </c>
    </row>
    <row r="17" spans="1:6" ht="15.6" x14ac:dyDescent="0.3">
      <c r="A17" s="10" t="s">
        <v>30</v>
      </c>
      <c r="B17" s="25" t="s">
        <v>31</v>
      </c>
      <c r="C17" s="16" t="s">
        <v>14</v>
      </c>
      <c r="D17" s="19">
        <f>19.8*0.2*0.2</f>
        <v>0.79200000000000015</v>
      </c>
      <c r="E17" s="26"/>
      <c r="F17" s="18">
        <f>E17*D17</f>
        <v>0</v>
      </c>
    </row>
    <row r="18" spans="1:6" x14ac:dyDescent="0.3">
      <c r="A18" s="7"/>
      <c r="B18" s="21" t="s">
        <v>32</v>
      </c>
      <c r="C18" s="7"/>
      <c r="D18" s="7"/>
      <c r="E18" s="7"/>
      <c r="F18" s="22">
        <f>SUM(F13:F17)</f>
        <v>0</v>
      </c>
    </row>
    <row r="19" spans="1:6" x14ac:dyDescent="0.3">
      <c r="A19" s="6" t="s">
        <v>33</v>
      </c>
      <c r="B19" s="7" t="s">
        <v>34</v>
      </c>
      <c r="C19" s="8"/>
      <c r="D19" s="8"/>
      <c r="E19" s="8"/>
      <c r="F19" s="9"/>
    </row>
    <row r="20" spans="1:6" x14ac:dyDescent="0.3">
      <c r="A20" s="16" t="s">
        <v>35</v>
      </c>
      <c r="B20" s="27" t="s">
        <v>36</v>
      </c>
      <c r="C20" s="16" t="s">
        <v>11</v>
      </c>
      <c r="D20" s="28">
        <f>4*3</f>
        <v>12</v>
      </c>
      <c r="E20" s="9"/>
      <c r="F20" s="18">
        <f>D20*E20</f>
        <v>0</v>
      </c>
    </row>
    <row r="21" spans="1:6" ht="31.2" x14ac:dyDescent="0.3">
      <c r="A21" s="16" t="s">
        <v>37</v>
      </c>
      <c r="B21" s="29" t="s">
        <v>38</v>
      </c>
      <c r="C21" s="16" t="s">
        <v>14</v>
      </c>
      <c r="D21" s="19">
        <f>5.4*3*0.1</f>
        <v>1.6200000000000003</v>
      </c>
      <c r="E21" s="30"/>
      <c r="F21" s="18">
        <f>E21*D21</f>
        <v>0</v>
      </c>
    </row>
    <row r="22" spans="1:6" ht="27.6" x14ac:dyDescent="0.3">
      <c r="A22" s="16" t="s">
        <v>39</v>
      </c>
      <c r="B22" s="15" t="s">
        <v>40</v>
      </c>
      <c r="C22" s="16" t="s">
        <v>14</v>
      </c>
      <c r="D22" s="19">
        <v>0.28999999999999998</v>
      </c>
      <c r="E22" s="26"/>
      <c r="F22" s="18">
        <f>E22*D22</f>
        <v>0</v>
      </c>
    </row>
    <row r="23" spans="1:6" ht="17.100000000000001" customHeight="1" x14ac:dyDescent="0.3">
      <c r="A23" s="7"/>
      <c r="B23" s="21" t="s">
        <v>41</v>
      </c>
      <c r="C23" s="7"/>
      <c r="D23" s="7"/>
      <c r="E23" s="7"/>
      <c r="F23" s="22">
        <f>SUM(F20:F22)</f>
        <v>0</v>
      </c>
    </row>
    <row r="24" spans="1:6" x14ac:dyDescent="0.3">
      <c r="A24" s="6" t="s">
        <v>42</v>
      </c>
      <c r="B24" s="7" t="s">
        <v>43</v>
      </c>
      <c r="C24" s="8"/>
      <c r="D24" s="8"/>
      <c r="E24" s="8"/>
      <c r="F24" s="9"/>
    </row>
    <row r="25" spans="1:6" ht="15.6" x14ac:dyDescent="0.3">
      <c r="A25" s="16" t="s">
        <v>44</v>
      </c>
      <c r="B25" s="15" t="s">
        <v>45</v>
      </c>
      <c r="C25" s="16" t="s">
        <v>11</v>
      </c>
      <c r="D25" s="28">
        <f>14*3.8</f>
        <v>53.199999999999996</v>
      </c>
      <c r="E25" s="31"/>
      <c r="F25" s="18">
        <f t="shared" ref="F25:F30" si="0">E25*D25</f>
        <v>0</v>
      </c>
    </row>
    <row r="26" spans="1:6" ht="16.5" customHeight="1" x14ac:dyDescent="0.3">
      <c r="A26" s="16" t="s">
        <v>46</v>
      </c>
      <c r="B26" s="25" t="s">
        <v>47</v>
      </c>
      <c r="C26" s="16" t="s">
        <v>14</v>
      </c>
      <c r="D26" s="19">
        <f>14*0.15*0.2</f>
        <v>0.42000000000000004</v>
      </c>
      <c r="E26" s="26"/>
      <c r="F26" s="18">
        <f t="shared" si="0"/>
        <v>0</v>
      </c>
    </row>
    <row r="27" spans="1:6" ht="31.2" x14ac:dyDescent="0.3">
      <c r="A27" s="16" t="s">
        <v>48</v>
      </c>
      <c r="B27" s="25" t="s">
        <v>49</v>
      </c>
      <c r="C27" s="16" t="s">
        <v>14</v>
      </c>
      <c r="D27" s="19">
        <f>14*0.2*0.2</f>
        <v>0.56000000000000005</v>
      </c>
      <c r="E27" s="26"/>
      <c r="F27" s="18">
        <f t="shared" si="0"/>
        <v>0</v>
      </c>
    </row>
    <row r="28" spans="1:6" ht="15" customHeight="1" x14ac:dyDescent="0.3">
      <c r="A28" s="16" t="s">
        <v>50</v>
      </c>
      <c r="B28" s="52" t="s">
        <v>51</v>
      </c>
      <c r="C28" s="16" t="s">
        <v>14</v>
      </c>
      <c r="D28" s="17">
        <f>((4.37+3.75)/2)*0.15*0.15*4</f>
        <v>0.36540000000000006</v>
      </c>
      <c r="E28" s="26"/>
      <c r="F28" s="18">
        <f t="shared" si="0"/>
        <v>0</v>
      </c>
    </row>
    <row r="29" spans="1:6" ht="19.5" customHeight="1" x14ac:dyDescent="0.3">
      <c r="A29" s="16" t="s">
        <v>52</v>
      </c>
      <c r="B29" s="25" t="s">
        <v>53</v>
      </c>
      <c r="C29" s="16" t="s">
        <v>14</v>
      </c>
      <c r="D29" s="17">
        <f>0.1*0.15*13</f>
        <v>0.19500000000000001</v>
      </c>
      <c r="E29" s="26"/>
      <c r="F29" s="18">
        <f t="shared" si="0"/>
        <v>0</v>
      </c>
    </row>
    <row r="30" spans="1:6" ht="31.2" x14ac:dyDescent="0.3">
      <c r="A30" s="16" t="s">
        <v>54</v>
      </c>
      <c r="B30" s="25" t="s">
        <v>55</v>
      </c>
      <c r="C30" s="10" t="s">
        <v>14</v>
      </c>
      <c r="D30" s="32">
        <f>+(0.45+0.5*2)*0.1*3</f>
        <v>0.43499999999999994</v>
      </c>
      <c r="E30" s="26"/>
      <c r="F30" s="14">
        <f t="shared" si="0"/>
        <v>0</v>
      </c>
    </row>
    <row r="31" spans="1:6" x14ac:dyDescent="0.3">
      <c r="A31" s="7"/>
      <c r="B31" s="21" t="s">
        <v>56</v>
      </c>
      <c r="C31" s="7"/>
      <c r="D31" s="7"/>
      <c r="E31" s="7"/>
      <c r="F31" s="22">
        <f>SUM(F25:F30)</f>
        <v>0</v>
      </c>
    </row>
    <row r="32" spans="1:6" x14ac:dyDescent="0.3">
      <c r="A32" s="6" t="s">
        <v>57</v>
      </c>
      <c r="B32" s="7" t="s">
        <v>149</v>
      </c>
      <c r="C32" s="8"/>
      <c r="D32" s="8"/>
      <c r="E32" s="8"/>
      <c r="F32" s="9"/>
    </row>
    <row r="33" spans="1:6" ht="16.5" customHeight="1" x14ac:dyDescent="0.3">
      <c r="A33" s="10" t="s">
        <v>59</v>
      </c>
      <c r="B33" s="33" t="s">
        <v>60</v>
      </c>
      <c r="C33" s="16" t="s">
        <v>11</v>
      </c>
      <c r="D33" s="34">
        <f>14*(3.5+4.2)</f>
        <v>107.8</v>
      </c>
      <c r="E33" s="18"/>
      <c r="F33" s="18">
        <f>D33*E33</f>
        <v>0</v>
      </c>
    </row>
    <row r="34" spans="1:6" ht="15.6" x14ac:dyDescent="0.3">
      <c r="A34" s="10" t="s">
        <v>61</v>
      </c>
      <c r="B34" s="33" t="s">
        <v>62</v>
      </c>
      <c r="C34" s="16" t="s">
        <v>11</v>
      </c>
      <c r="D34" s="34">
        <f>14*4.2</f>
        <v>58.800000000000004</v>
      </c>
      <c r="E34" s="18"/>
      <c r="F34" s="18">
        <f>D34*E34</f>
        <v>0</v>
      </c>
    </row>
    <row r="35" spans="1:6" x14ac:dyDescent="0.3">
      <c r="A35" s="7"/>
      <c r="B35" s="21" t="s">
        <v>63</v>
      </c>
      <c r="C35" s="7"/>
      <c r="D35" s="7"/>
      <c r="E35" s="7"/>
      <c r="F35" s="22">
        <f>SUM(F33:F34)</f>
        <v>0</v>
      </c>
    </row>
    <row r="36" spans="1:6" x14ac:dyDescent="0.3">
      <c r="A36" s="6" t="s">
        <v>64</v>
      </c>
      <c r="B36" s="7" t="s">
        <v>65</v>
      </c>
      <c r="C36" s="8"/>
      <c r="D36" s="8"/>
      <c r="E36" s="8"/>
      <c r="F36" s="9"/>
    </row>
    <row r="37" spans="1:6" x14ac:dyDescent="0.3">
      <c r="A37" s="16" t="s">
        <v>66</v>
      </c>
      <c r="B37" s="15" t="s">
        <v>67</v>
      </c>
      <c r="C37" s="16" t="s">
        <v>68</v>
      </c>
      <c r="D37" s="28">
        <f>3.3*6</f>
        <v>19.799999999999997</v>
      </c>
      <c r="E37" s="18"/>
      <c r="F37" s="18">
        <f>E37*D37</f>
        <v>0</v>
      </c>
    </row>
    <row r="38" spans="1:6" ht="17.100000000000001" customHeight="1" x14ac:dyDescent="0.3">
      <c r="A38" s="16" t="s">
        <v>71</v>
      </c>
      <c r="B38" s="15" t="s">
        <v>70</v>
      </c>
      <c r="C38" s="16" t="s">
        <v>11</v>
      </c>
      <c r="D38" s="28">
        <f>3*4</f>
        <v>12</v>
      </c>
      <c r="E38" s="18"/>
      <c r="F38" s="18">
        <f>E38*D38</f>
        <v>0</v>
      </c>
    </row>
    <row r="39" spans="1:6" x14ac:dyDescent="0.3">
      <c r="A39" s="16" t="s">
        <v>73</v>
      </c>
      <c r="B39" s="15" t="s">
        <v>72</v>
      </c>
      <c r="C39" s="16" t="s">
        <v>68</v>
      </c>
      <c r="D39" s="28">
        <f>+D37</f>
        <v>19.799999999999997</v>
      </c>
      <c r="E39" s="18"/>
      <c r="F39" s="18">
        <f>E39*D39</f>
        <v>0</v>
      </c>
    </row>
    <row r="40" spans="1:6" ht="23.25" customHeight="1" x14ac:dyDescent="0.3">
      <c r="A40" s="16" t="s">
        <v>147</v>
      </c>
      <c r="B40" s="15" t="s">
        <v>74</v>
      </c>
      <c r="C40" s="16" t="s">
        <v>11</v>
      </c>
      <c r="D40" s="28">
        <f>4*3</f>
        <v>12</v>
      </c>
      <c r="E40" s="18"/>
      <c r="F40" s="18">
        <f>E40*D40</f>
        <v>0</v>
      </c>
    </row>
    <row r="41" spans="1:6" x14ac:dyDescent="0.3">
      <c r="A41" s="7"/>
      <c r="B41" s="21" t="s">
        <v>75</v>
      </c>
      <c r="C41" s="7"/>
      <c r="D41" s="7"/>
      <c r="E41" s="7"/>
      <c r="F41" s="22">
        <f>SUM(F37:F40)</f>
        <v>0</v>
      </c>
    </row>
    <row r="42" spans="1:6" x14ac:dyDescent="0.3">
      <c r="A42" s="6" t="s">
        <v>76</v>
      </c>
      <c r="B42" s="7" t="s">
        <v>104</v>
      </c>
      <c r="C42" s="8"/>
      <c r="D42" s="8"/>
      <c r="E42" s="8"/>
      <c r="F42" s="9"/>
    </row>
    <row r="43" spans="1:6" ht="42" thickBot="1" x14ac:dyDescent="0.35">
      <c r="A43" s="74" t="s">
        <v>77</v>
      </c>
      <c r="B43" s="15" t="s">
        <v>158</v>
      </c>
      <c r="C43" s="77" t="s">
        <v>78</v>
      </c>
      <c r="D43" s="77">
        <v>1</v>
      </c>
      <c r="E43" s="18"/>
      <c r="F43" s="18">
        <f>E43*D43</f>
        <v>0</v>
      </c>
    </row>
    <row r="44" spans="1:6" ht="28.2" thickBot="1" x14ac:dyDescent="0.35">
      <c r="A44" s="74" t="s">
        <v>145</v>
      </c>
      <c r="B44" s="15" t="s">
        <v>161</v>
      </c>
      <c r="C44" s="77" t="s">
        <v>78</v>
      </c>
      <c r="D44" s="77">
        <v>1</v>
      </c>
      <c r="E44" s="18"/>
      <c r="F44" s="18">
        <f>E44*D44</f>
        <v>0</v>
      </c>
    </row>
    <row r="45" spans="1:6" ht="28.2" thickBot="1" x14ac:dyDescent="0.35">
      <c r="A45" s="74" t="s">
        <v>146</v>
      </c>
      <c r="B45" s="15" t="s">
        <v>162</v>
      </c>
      <c r="C45" s="77" t="s">
        <v>78</v>
      </c>
      <c r="D45" s="77">
        <v>1</v>
      </c>
      <c r="E45" s="18"/>
      <c r="F45" s="18"/>
    </row>
    <row r="46" spans="1:6" x14ac:dyDescent="0.3">
      <c r="A46" s="7"/>
      <c r="B46" s="21" t="s">
        <v>79</v>
      </c>
      <c r="C46" s="7"/>
      <c r="D46" s="7"/>
      <c r="E46" s="7"/>
      <c r="F46" s="22">
        <f>SUM(F43:F44)</f>
        <v>0</v>
      </c>
    </row>
    <row r="47" spans="1:6" ht="15.6" x14ac:dyDescent="0.3">
      <c r="A47" s="36" t="s">
        <v>80</v>
      </c>
      <c r="B47" s="37" t="s">
        <v>81</v>
      </c>
      <c r="C47" s="38"/>
      <c r="D47" s="39"/>
      <c r="E47" s="40"/>
      <c r="F47" s="40"/>
    </row>
    <row r="48" spans="1:6" ht="31.2" x14ac:dyDescent="0.3">
      <c r="A48" s="38" t="s">
        <v>148</v>
      </c>
      <c r="B48" s="41" t="s">
        <v>83</v>
      </c>
      <c r="C48" s="42" t="s">
        <v>84</v>
      </c>
      <c r="D48" s="43">
        <v>1</v>
      </c>
      <c r="E48" s="44"/>
      <c r="F48" s="44">
        <f t="shared" ref="F48:F54" si="1">+E48*D48</f>
        <v>0</v>
      </c>
    </row>
    <row r="49" spans="1:6" ht="15.6" x14ac:dyDescent="0.3">
      <c r="A49" s="38" t="s">
        <v>82</v>
      </c>
      <c r="B49" s="41" t="s">
        <v>86</v>
      </c>
      <c r="C49" s="10" t="s">
        <v>78</v>
      </c>
      <c r="D49" s="43">
        <v>2</v>
      </c>
      <c r="E49" s="44"/>
      <c r="F49" s="44">
        <f t="shared" si="1"/>
        <v>0</v>
      </c>
    </row>
    <row r="50" spans="1:6" ht="15.6" x14ac:dyDescent="0.3">
      <c r="A50" s="38" t="s">
        <v>85</v>
      </c>
      <c r="B50" s="41" t="s">
        <v>88</v>
      </c>
      <c r="C50" s="10" t="s">
        <v>78</v>
      </c>
      <c r="D50" s="43">
        <v>1</v>
      </c>
      <c r="E50" s="44"/>
      <c r="F50" s="44">
        <f t="shared" si="1"/>
        <v>0</v>
      </c>
    </row>
    <row r="51" spans="1:6" ht="31.2" x14ac:dyDescent="0.3">
      <c r="A51" s="38" t="s">
        <v>87</v>
      </c>
      <c r="B51" s="41" t="s">
        <v>105</v>
      </c>
      <c r="C51" s="42" t="s">
        <v>78</v>
      </c>
      <c r="D51" s="43">
        <v>1</v>
      </c>
      <c r="E51" s="44"/>
      <c r="F51" s="44">
        <f t="shared" si="1"/>
        <v>0</v>
      </c>
    </row>
    <row r="52" spans="1:6" ht="15.6" x14ac:dyDescent="0.3">
      <c r="A52" s="38" t="s">
        <v>89</v>
      </c>
      <c r="B52" s="41" t="s">
        <v>91</v>
      </c>
      <c r="C52" s="42" t="s">
        <v>78</v>
      </c>
      <c r="D52" s="43">
        <v>1</v>
      </c>
      <c r="E52" s="44"/>
      <c r="F52" s="44">
        <f t="shared" si="1"/>
        <v>0</v>
      </c>
    </row>
    <row r="53" spans="1:6" ht="16.5" customHeight="1" x14ac:dyDescent="0.3">
      <c r="A53" s="38" t="s">
        <v>90</v>
      </c>
      <c r="B53" s="41" t="s">
        <v>93</v>
      </c>
      <c r="C53" s="42" t="s">
        <v>78</v>
      </c>
      <c r="D53" s="45">
        <v>2</v>
      </c>
      <c r="E53" s="46"/>
      <c r="F53" s="46">
        <f t="shared" si="1"/>
        <v>0</v>
      </c>
    </row>
    <row r="54" spans="1:6" ht="31.2" x14ac:dyDescent="0.3">
      <c r="A54" s="38" t="s">
        <v>92</v>
      </c>
      <c r="B54" s="41" t="s">
        <v>95</v>
      </c>
      <c r="C54" s="42" t="s">
        <v>78</v>
      </c>
      <c r="D54" s="45">
        <v>2</v>
      </c>
      <c r="E54" s="46"/>
      <c r="F54" s="46">
        <f t="shared" si="1"/>
        <v>0</v>
      </c>
    </row>
    <row r="55" spans="1:6" ht="15.6" x14ac:dyDescent="0.3">
      <c r="A55" s="38"/>
      <c r="B55" s="48" t="s">
        <v>96</v>
      </c>
      <c r="C55" s="38"/>
      <c r="D55" s="39"/>
      <c r="E55" s="49"/>
      <c r="F55" s="50">
        <f>SUM(F48:F54)</f>
        <v>0</v>
      </c>
    </row>
    <row r="56" spans="1:6" x14ac:dyDescent="0.3">
      <c r="A56" s="6" t="s">
        <v>97</v>
      </c>
      <c r="B56" s="7" t="s">
        <v>98</v>
      </c>
      <c r="C56" s="8"/>
      <c r="D56" s="8"/>
      <c r="E56" s="8"/>
      <c r="F56" s="9"/>
    </row>
    <row r="57" spans="1:6" ht="15.6" x14ac:dyDescent="0.3">
      <c r="A57" s="10" t="s">
        <v>99</v>
      </c>
      <c r="B57" s="25" t="s">
        <v>106</v>
      </c>
      <c r="C57" s="16" t="s">
        <v>11</v>
      </c>
      <c r="D57" s="28">
        <f>3*12</f>
        <v>36</v>
      </c>
      <c r="E57" s="18"/>
      <c r="F57" s="18">
        <f>E57*D57</f>
        <v>0</v>
      </c>
    </row>
    <row r="58" spans="1:6" ht="15.6" x14ac:dyDescent="0.3">
      <c r="A58" s="10" t="s">
        <v>100</v>
      </c>
      <c r="B58" s="25" t="s">
        <v>102</v>
      </c>
      <c r="C58" s="16" t="s">
        <v>11</v>
      </c>
      <c r="D58" s="28">
        <f>+D40</f>
        <v>12</v>
      </c>
      <c r="E58" s="18"/>
      <c r="F58" s="18">
        <f>E58*D58</f>
        <v>0</v>
      </c>
    </row>
    <row r="59" spans="1:6" x14ac:dyDescent="0.3">
      <c r="A59" s="7"/>
      <c r="B59" s="21" t="s">
        <v>103</v>
      </c>
      <c r="C59" s="7"/>
      <c r="D59" s="7"/>
      <c r="E59" s="7"/>
      <c r="F59" s="22">
        <f>SUM(F57:F58)</f>
        <v>0</v>
      </c>
    </row>
    <row r="60" spans="1:6" x14ac:dyDescent="0.3">
      <c r="A60" s="81" t="s">
        <v>142</v>
      </c>
      <c r="B60" s="81"/>
      <c r="C60" s="81"/>
      <c r="D60" s="81"/>
      <c r="E60" s="81"/>
      <c r="F60" s="51">
        <f>+F11+F18+F23+F31+F35+F41+F46+F55+F59</f>
        <v>0</v>
      </c>
    </row>
  </sheetData>
  <mergeCells count="4">
    <mergeCell ref="A2:F2"/>
    <mergeCell ref="A3:F3"/>
    <mergeCell ref="A4:F4"/>
    <mergeCell ref="A60:E60"/>
  </mergeCells>
  <pageMargins left="0.62992125984251968" right="0.55118110236220474" top="0.59055118110236227" bottom="0.62992125984251968" header="0.31496062992125984" footer="0.31496062992125984"/>
  <pageSetup paperSize="9" scale="97" orientation="portrait" r:id="rId1"/>
  <headerFooter>
    <oddFooter>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B51F7-972E-497D-925B-25B0CE36DC15}">
  <dimension ref="A1:G46"/>
  <sheetViews>
    <sheetView topLeftCell="A26" zoomScale="120" zoomScaleNormal="120" workbookViewId="0">
      <selection activeCell="G33" sqref="G33"/>
    </sheetView>
  </sheetViews>
  <sheetFormatPr baseColWidth="10" defaultRowHeight="14.4" x14ac:dyDescent="0.3"/>
  <cols>
    <col min="1" max="1" width="5.109375" customWidth="1"/>
    <col min="2" max="2" width="46.6640625" customWidth="1"/>
    <col min="3" max="3" width="6.5546875" customWidth="1"/>
    <col min="4" max="4" width="11.33203125" customWidth="1"/>
    <col min="5" max="5" width="10.88671875" style="1" customWidth="1"/>
    <col min="6" max="6" width="12.44140625" style="1" customWidth="1"/>
    <col min="7" max="7" width="11.44140625" style="2"/>
  </cols>
  <sheetData>
    <row r="1" spans="1:6" ht="10.5" hidden="1" customHeight="1" x14ac:dyDescent="0.3"/>
    <row r="2" spans="1:6" ht="18.75" customHeight="1" x14ac:dyDescent="0.3">
      <c r="A2" s="78" t="s">
        <v>107</v>
      </c>
      <c r="B2" s="78"/>
      <c r="C2" s="78"/>
      <c r="D2" s="78"/>
      <c r="E2" s="78"/>
      <c r="F2" s="78"/>
    </row>
    <row r="3" spans="1:6" ht="15.6" x14ac:dyDescent="0.3">
      <c r="A3" s="79" t="s">
        <v>0</v>
      </c>
      <c r="B3" s="79"/>
      <c r="C3" s="79"/>
      <c r="D3" s="79"/>
      <c r="E3" s="79"/>
      <c r="F3" s="79"/>
    </row>
    <row r="4" spans="1:6" ht="15.6" x14ac:dyDescent="0.3">
      <c r="A4" s="80" t="s">
        <v>156</v>
      </c>
      <c r="B4" s="80"/>
      <c r="C4" s="80"/>
      <c r="D4" s="80"/>
      <c r="E4" s="80"/>
      <c r="F4" s="80"/>
    </row>
    <row r="5" spans="1:6" ht="20.25" customHeight="1" x14ac:dyDescent="0.3">
      <c r="A5" s="3" t="s">
        <v>1</v>
      </c>
      <c r="B5" s="3" t="s">
        <v>2</v>
      </c>
      <c r="C5" s="3" t="s">
        <v>3</v>
      </c>
      <c r="D5" s="4" t="s">
        <v>4</v>
      </c>
      <c r="E5" s="5" t="s">
        <v>5</v>
      </c>
      <c r="F5" s="5" t="s">
        <v>6</v>
      </c>
    </row>
    <row r="6" spans="1:6" x14ac:dyDescent="0.3">
      <c r="A6" s="6" t="s">
        <v>7</v>
      </c>
      <c r="B6" s="7" t="s">
        <v>8</v>
      </c>
      <c r="C6" s="8"/>
      <c r="D6" s="8"/>
      <c r="E6" s="8"/>
      <c r="F6" s="9"/>
    </row>
    <row r="7" spans="1:6" ht="48" customHeight="1" x14ac:dyDescent="0.3">
      <c r="A7" s="10" t="s">
        <v>9</v>
      </c>
      <c r="B7" s="11" t="s">
        <v>10</v>
      </c>
      <c r="C7" s="10" t="s">
        <v>11</v>
      </c>
      <c r="D7" s="12">
        <f>1.5*2</f>
        <v>3</v>
      </c>
      <c r="E7" s="13"/>
      <c r="F7" s="14">
        <f>+E7*D7</f>
        <v>0</v>
      </c>
    </row>
    <row r="8" spans="1:6" ht="15.6" x14ac:dyDescent="0.3">
      <c r="A8" s="10" t="s">
        <v>12</v>
      </c>
      <c r="B8" s="15" t="s">
        <v>13</v>
      </c>
      <c r="C8" s="16" t="s">
        <v>14</v>
      </c>
      <c r="D8" s="17">
        <f>0.4*(1.5*2+2*2)*1</f>
        <v>2.8000000000000003</v>
      </c>
      <c r="E8" s="14"/>
      <c r="F8" s="18">
        <f>E8*D8</f>
        <v>0</v>
      </c>
    </row>
    <row r="9" spans="1:6" ht="15.6" x14ac:dyDescent="0.3">
      <c r="A9" s="10" t="s">
        <v>15</v>
      </c>
      <c r="B9" s="15" t="s">
        <v>16</v>
      </c>
      <c r="C9" s="16" t="s">
        <v>14</v>
      </c>
      <c r="D9" s="19">
        <f>0.2*0.75*7</f>
        <v>1.0500000000000003</v>
      </c>
      <c r="E9" s="14"/>
      <c r="F9" s="18">
        <f>E9*D9</f>
        <v>0</v>
      </c>
    </row>
    <row r="10" spans="1:6" ht="27.6" x14ac:dyDescent="0.3">
      <c r="A10" s="10" t="s">
        <v>17</v>
      </c>
      <c r="B10" s="15" t="s">
        <v>18</v>
      </c>
      <c r="C10" s="16" t="s">
        <v>14</v>
      </c>
      <c r="D10" s="19">
        <f>0.25*1.5*2</f>
        <v>0.75</v>
      </c>
      <c r="E10" s="20"/>
      <c r="F10" s="18">
        <f>E10*D10</f>
        <v>0</v>
      </c>
    </row>
    <row r="11" spans="1:6" x14ac:dyDescent="0.3">
      <c r="A11" s="7"/>
      <c r="B11" s="21" t="s">
        <v>19</v>
      </c>
      <c r="C11" s="7"/>
      <c r="D11" s="7"/>
      <c r="E11" s="7"/>
      <c r="F11" s="22">
        <f>SUM(F7:F10)</f>
        <v>0</v>
      </c>
    </row>
    <row r="12" spans="1:6" ht="15.6" x14ac:dyDescent="0.3">
      <c r="A12" s="6" t="s">
        <v>20</v>
      </c>
      <c r="B12" s="23" t="s">
        <v>21</v>
      </c>
      <c r="C12" s="8"/>
      <c r="D12" s="8"/>
      <c r="E12" s="8"/>
      <c r="F12" s="9"/>
    </row>
    <row r="13" spans="1:6" ht="15.6" x14ac:dyDescent="0.3">
      <c r="A13" s="10" t="s">
        <v>22</v>
      </c>
      <c r="B13" s="24" t="s">
        <v>23</v>
      </c>
      <c r="C13" s="16" t="s">
        <v>14</v>
      </c>
      <c r="D13" s="19">
        <f>7*0.4*0.05</f>
        <v>0.14000000000000001</v>
      </c>
      <c r="E13" s="14"/>
      <c r="F13" s="18">
        <f>E13*D13</f>
        <v>0</v>
      </c>
    </row>
    <row r="14" spans="1:6" ht="16.5" customHeight="1" x14ac:dyDescent="0.3">
      <c r="A14" s="10" t="s">
        <v>24</v>
      </c>
      <c r="B14" s="25" t="s">
        <v>25</v>
      </c>
      <c r="C14" s="16" t="s">
        <v>14</v>
      </c>
      <c r="D14" s="19">
        <f>0.3*0.2*7</f>
        <v>0.42</v>
      </c>
      <c r="E14" s="26"/>
      <c r="F14" s="18">
        <f>E14*D14</f>
        <v>0</v>
      </c>
    </row>
    <row r="15" spans="1:6" ht="15.6" x14ac:dyDescent="0.3">
      <c r="A15" s="10" t="s">
        <v>26</v>
      </c>
      <c r="B15" s="25" t="s">
        <v>27</v>
      </c>
      <c r="C15" s="16" t="s">
        <v>11</v>
      </c>
      <c r="D15" s="19">
        <f>7*1</f>
        <v>7</v>
      </c>
      <c r="E15" s="18"/>
      <c r="F15" s="18">
        <f>E15*D15</f>
        <v>0</v>
      </c>
    </row>
    <row r="16" spans="1:6" ht="31.2" x14ac:dyDescent="0.3">
      <c r="A16" s="10" t="s">
        <v>28</v>
      </c>
      <c r="B16" s="25" t="s">
        <v>29</v>
      </c>
      <c r="C16" s="16" t="s">
        <v>14</v>
      </c>
      <c r="D16" s="19">
        <f>4*0.15*0.15*1.2</f>
        <v>0.108</v>
      </c>
      <c r="E16" s="26"/>
      <c r="F16" s="18">
        <f>E16*D16</f>
        <v>0</v>
      </c>
    </row>
    <row r="17" spans="1:6" ht="15.6" x14ac:dyDescent="0.3">
      <c r="A17" s="10" t="s">
        <v>30</v>
      </c>
      <c r="B17" s="25" t="s">
        <v>31</v>
      </c>
      <c r="C17" s="16" t="s">
        <v>14</v>
      </c>
      <c r="D17" s="19">
        <f>7*0.15*0.15</f>
        <v>0.1575</v>
      </c>
      <c r="E17" s="26"/>
      <c r="F17" s="18">
        <f>E17*D17</f>
        <v>0</v>
      </c>
    </row>
    <row r="18" spans="1:6" x14ac:dyDescent="0.3">
      <c r="A18" s="7"/>
      <c r="B18" s="21" t="s">
        <v>32</v>
      </c>
      <c r="C18" s="7"/>
      <c r="D18" s="7"/>
      <c r="E18" s="7"/>
      <c r="F18" s="22">
        <f>SUM(F13:F17)</f>
        <v>0</v>
      </c>
    </row>
    <row r="19" spans="1:6" x14ac:dyDescent="0.3">
      <c r="A19" s="6" t="s">
        <v>33</v>
      </c>
      <c r="B19" s="7" t="s">
        <v>34</v>
      </c>
      <c r="C19" s="8"/>
      <c r="D19" s="8"/>
      <c r="E19" s="8"/>
      <c r="F19" s="9"/>
    </row>
    <row r="20" spans="1:6" s="2" customFormat="1" ht="31.2" x14ac:dyDescent="0.3">
      <c r="A20" s="16" t="s">
        <v>37</v>
      </c>
      <c r="B20" s="29" t="s">
        <v>38</v>
      </c>
      <c r="C20" s="16" t="s">
        <v>14</v>
      </c>
      <c r="D20" s="19">
        <f>1.5*2*0.1</f>
        <v>0.30000000000000004</v>
      </c>
      <c r="E20" s="30"/>
      <c r="F20" s="18">
        <f>E20*D20</f>
        <v>0</v>
      </c>
    </row>
    <row r="21" spans="1:6" s="2" customFormat="1" ht="17.100000000000001" customHeight="1" x14ac:dyDescent="0.3">
      <c r="A21" s="7"/>
      <c r="B21" s="21" t="s">
        <v>41</v>
      </c>
      <c r="C21" s="7"/>
      <c r="D21" s="7"/>
      <c r="E21" s="7"/>
      <c r="F21" s="22">
        <f>SUM(F20:F20)</f>
        <v>0</v>
      </c>
    </row>
    <row r="22" spans="1:6" s="2" customFormat="1" x14ac:dyDescent="0.3">
      <c r="A22" s="6" t="s">
        <v>42</v>
      </c>
      <c r="B22" s="7" t="s">
        <v>43</v>
      </c>
      <c r="C22" s="8"/>
      <c r="D22" s="8"/>
      <c r="E22" s="8"/>
      <c r="F22" s="9"/>
    </row>
    <row r="23" spans="1:6" s="2" customFormat="1" ht="15.6" x14ac:dyDescent="0.3">
      <c r="A23" s="16" t="s">
        <v>44</v>
      </c>
      <c r="B23" s="15" t="s">
        <v>45</v>
      </c>
      <c r="C23" s="16" t="s">
        <v>11</v>
      </c>
      <c r="D23" s="28">
        <f>2*7</f>
        <v>14</v>
      </c>
      <c r="E23" s="31"/>
      <c r="F23" s="18">
        <f t="shared" ref="F23:F25" si="0">E23*D23</f>
        <v>0</v>
      </c>
    </row>
    <row r="24" spans="1:6" s="2" customFormat="1" ht="16.5" customHeight="1" x14ac:dyDescent="0.3">
      <c r="A24" s="16" t="s">
        <v>46</v>
      </c>
      <c r="B24" s="25" t="s">
        <v>47</v>
      </c>
      <c r="C24" s="16" t="s">
        <v>14</v>
      </c>
      <c r="D24" s="19"/>
      <c r="E24" s="26"/>
      <c r="F24" s="18">
        <f t="shared" si="0"/>
        <v>0</v>
      </c>
    </row>
    <row r="25" spans="1:6" s="2" customFormat="1" ht="15" customHeight="1" x14ac:dyDescent="0.3">
      <c r="A25" s="16" t="s">
        <v>50</v>
      </c>
      <c r="B25" s="52" t="s">
        <v>51</v>
      </c>
      <c r="C25" s="16" t="s">
        <v>14</v>
      </c>
      <c r="D25" s="17">
        <f>2.2*0.15*0.15*4</f>
        <v>0.19800000000000001</v>
      </c>
      <c r="E25" s="26"/>
      <c r="F25" s="18">
        <f t="shared" si="0"/>
        <v>0</v>
      </c>
    </row>
    <row r="26" spans="1:6" s="2" customFormat="1" x14ac:dyDescent="0.3">
      <c r="A26" s="7"/>
      <c r="B26" s="21" t="s">
        <v>56</v>
      </c>
      <c r="C26" s="7"/>
      <c r="D26" s="7"/>
      <c r="E26" s="7"/>
      <c r="F26" s="22">
        <f>SUM(F23:F25)</f>
        <v>0</v>
      </c>
    </row>
    <row r="27" spans="1:6" s="2" customFormat="1" x14ac:dyDescent="0.3">
      <c r="A27" s="6" t="s">
        <v>57</v>
      </c>
      <c r="B27" s="7" t="s">
        <v>58</v>
      </c>
      <c r="C27" s="8"/>
      <c r="D27" s="8"/>
      <c r="E27" s="8"/>
      <c r="F27" s="9"/>
    </row>
    <row r="28" spans="1:6" s="2" customFormat="1" ht="16.5" customHeight="1" x14ac:dyDescent="0.3">
      <c r="A28" s="10" t="s">
        <v>59</v>
      </c>
      <c r="B28" s="33" t="s">
        <v>60</v>
      </c>
      <c r="C28" s="16" t="s">
        <v>11</v>
      </c>
      <c r="D28" s="34">
        <f>7*(2.5*2)</f>
        <v>35</v>
      </c>
      <c r="E28" s="18"/>
      <c r="F28" s="18">
        <f>D28*E28</f>
        <v>0</v>
      </c>
    </row>
    <row r="29" spans="1:6" s="2" customFormat="1" ht="15.6" x14ac:dyDescent="0.3">
      <c r="A29" s="10" t="s">
        <v>61</v>
      </c>
      <c r="B29" s="33" t="s">
        <v>62</v>
      </c>
      <c r="C29" s="16" t="s">
        <v>11</v>
      </c>
      <c r="D29" s="34">
        <f>2.5*7</f>
        <v>17.5</v>
      </c>
      <c r="E29" s="18"/>
      <c r="F29" s="18">
        <f>D29*E29</f>
        <v>0</v>
      </c>
    </row>
    <row r="30" spans="1:6" s="2" customFormat="1" x14ac:dyDescent="0.3">
      <c r="A30" s="7"/>
      <c r="B30" s="21" t="s">
        <v>63</v>
      </c>
      <c r="C30" s="7"/>
      <c r="D30" s="7"/>
      <c r="E30" s="7"/>
      <c r="F30" s="22">
        <f>SUM(F28:F29)</f>
        <v>0</v>
      </c>
    </row>
    <row r="31" spans="1:6" s="2" customFormat="1" x14ac:dyDescent="0.3">
      <c r="A31" s="6" t="s">
        <v>64</v>
      </c>
      <c r="B31" s="7" t="s">
        <v>104</v>
      </c>
      <c r="C31" s="8"/>
      <c r="D31" s="8"/>
      <c r="E31" s="8"/>
      <c r="F31" s="9"/>
    </row>
    <row r="32" spans="1:6" s="2" customFormat="1" ht="39.6" x14ac:dyDescent="0.3">
      <c r="A32" s="16" t="s">
        <v>66</v>
      </c>
      <c r="B32" s="53" t="s">
        <v>109</v>
      </c>
      <c r="C32" s="16" t="s">
        <v>78</v>
      </c>
      <c r="D32" s="35">
        <v>1</v>
      </c>
      <c r="E32" s="18"/>
      <c r="F32" s="18">
        <f>E32*D32</f>
        <v>0</v>
      </c>
    </row>
    <row r="33" spans="1:6" s="2" customFormat="1" x14ac:dyDescent="0.3">
      <c r="A33" s="7"/>
      <c r="B33" s="21" t="s">
        <v>75</v>
      </c>
      <c r="C33" s="7"/>
      <c r="D33" s="7"/>
      <c r="E33" s="7"/>
      <c r="F33" s="22">
        <f>SUM(F32:F32)</f>
        <v>0</v>
      </c>
    </row>
    <row r="34" spans="1:6" x14ac:dyDescent="0.3">
      <c r="A34" s="81" t="s">
        <v>143</v>
      </c>
      <c r="B34" s="81"/>
      <c r="C34" s="81"/>
      <c r="D34" s="81"/>
      <c r="E34" s="81"/>
      <c r="F34" s="51">
        <f>+F33+F30+F26+F21+F18+F11</f>
        <v>0</v>
      </c>
    </row>
    <row r="45" spans="1:6" s="2" customFormat="1" x14ac:dyDescent="0.3">
      <c r="A45"/>
      <c r="B45"/>
      <c r="C45"/>
      <c r="D45"/>
      <c r="E45" s="1"/>
      <c r="F45" s="1">
        <f>+F46*3</f>
        <v>0</v>
      </c>
    </row>
    <row r="46" spans="1:6" s="2" customFormat="1" x14ac:dyDescent="0.3">
      <c r="A46"/>
      <c r="B46"/>
      <c r="C46"/>
      <c r="D46"/>
      <c r="E46" s="1"/>
      <c r="F46" s="1">
        <f>+F34+Salle_reunion!F61</f>
        <v>0</v>
      </c>
    </row>
  </sheetData>
  <mergeCells count="4">
    <mergeCell ref="A2:F2"/>
    <mergeCell ref="A3:F3"/>
    <mergeCell ref="A4:F4"/>
    <mergeCell ref="A34:E34"/>
  </mergeCells>
  <pageMargins left="0.62992125984251968" right="0.55118110236220474" top="0.59055118110236227" bottom="0.62992125984251968" header="0.31496062992125984" footer="0.31496062992125984"/>
  <pageSetup paperSize="9" scale="97" orientation="portrait" r:id="rId1"/>
  <headerFooter>
    <oddFooter>&amp;R&amp;10&amp;P/&amp;N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FA2F8-2ACA-4380-A379-DC115EA31765}">
  <dimension ref="A3:F30"/>
  <sheetViews>
    <sheetView topLeftCell="A34" workbookViewId="0">
      <selection activeCell="I29" sqref="I29"/>
    </sheetView>
  </sheetViews>
  <sheetFormatPr baseColWidth="10" defaultRowHeight="14.4" x14ac:dyDescent="0.3"/>
  <cols>
    <col min="1" max="1" width="4.33203125" customWidth="1"/>
    <col min="2" max="2" width="49.44140625" customWidth="1"/>
    <col min="3" max="3" width="5.6640625" customWidth="1"/>
    <col min="4" max="4" width="8.44140625" customWidth="1"/>
    <col min="5" max="5" width="8.5546875" customWidth="1"/>
    <col min="6" max="6" width="10.5546875" customWidth="1"/>
  </cols>
  <sheetData>
    <row r="3" spans="1:6" ht="15.6" x14ac:dyDescent="0.3">
      <c r="A3" s="79" t="s">
        <v>0</v>
      </c>
      <c r="B3" s="79"/>
      <c r="C3" s="79"/>
      <c r="D3" s="79"/>
      <c r="E3" s="79"/>
      <c r="F3" s="79"/>
    </row>
    <row r="4" spans="1:6" ht="15.6" x14ac:dyDescent="0.3">
      <c r="A4" s="80" t="s">
        <v>151</v>
      </c>
      <c r="B4" s="80"/>
      <c r="C4" s="80"/>
      <c r="D4" s="80"/>
      <c r="E4" s="80"/>
      <c r="F4" s="80"/>
    </row>
    <row r="5" spans="1:6" ht="15.6" x14ac:dyDescent="0.3">
      <c r="A5" s="3" t="s">
        <v>110</v>
      </c>
      <c r="B5" s="3" t="s">
        <v>2</v>
      </c>
      <c r="C5" s="3" t="s">
        <v>3</v>
      </c>
      <c r="D5" s="4" t="s">
        <v>4</v>
      </c>
      <c r="E5" s="5" t="s">
        <v>5</v>
      </c>
      <c r="F5" s="5" t="s">
        <v>6</v>
      </c>
    </row>
    <row r="6" spans="1:6" ht="15.6" x14ac:dyDescent="0.3">
      <c r="A6" s="3" t="s">
        <v>7</v>
      </c>
      <c r="B6" s="54" t="s">
        <v>111</v>
      </c>
      <c r="C6" s="42"/>
      <c r="D6" s="55"/>
      <c r="E6" s="40"/>
      <c r="F6" s="40"/>
    </row>
    <row r="7" spans="1:6" ht="46.8" x14ac:dyDescent="0.3">
      <c r="A7" s="56" t="s">
        <v>9</v>
      </c>
      <c r="B7" s="11" t="s">
        <v>10</v>
      </c>
      <c r="C7" s="56" t="s">
        <v>112</v>
      </c>
      <c r="D7" s="57">
        <f>4*1.8</f>
        <v>7.2</v>
      </c>
      <c r="E7" s="47"/>
      <c r="F7" s="49">
        <f>+E7*D7</f>
        <v>0</v>
      </c>
    </row>
    <row r="8" spans="1:6" ht="15.6" x14ac:dyDescent="0.3">
      <c r="A8" s="56" t="s">
        <v>12</v>
      </c>
      <c r="B8" s="15" t="s">
        <v>113</v>
      </c>
      <c r="C8" s="42" t="s">
        <v>14</v>
      </c>
      <c r="D8" s="55">
        <f>4*1.8*2.5</f>
        <v>18</v>
      </c>
      <c r="E8" s="47"/>
      <c r="F8" s="49">
        <f>+E8*D8</f>
        <v>0</v>
      </c>
    </row>
    <row r="9" spans="1:6" ht="15.6" x14ac:dyDescent="0.3">
      <c r="A9" s="56" t="s">
        <v>15</v>
      </c>
      <c r="B9" s="15" t="s">
        <v>114</v>
      </c>
      <c r="C9" s="42" t="s">
        <v>14</v>
      </c>
      <c r="D9" s="55">
        <f>((1.8*2+4*2)*0.4*0.4)</f>
        <v>1.8559999999999999</v>
      </c>
      <c r="E9" s="47"/>
      <c r="F9" s="49">
        <f>+E9*D9</f>
        <v>0</v>
      </c>
    </row>
    <row r="10" spans="1:6" ht="15.6" x14ac:dyDescent="0.3">
      <c r="A10" s="56" t="s">
        <v>17</v>
      </c>
      <c r="B10" s="58" t="s">
        <v>115</v>
      </c>
      <c r="C10" s="42" t="s">
        <v>14</v>
      </c>
      <c r="D10" s="55">
        <f>D8-4*1.8*2.5</f>
        <v>0</v>
      </c>
      <c r="E10" s="31"/>
      <c r="F10" s="49">
        <f>+E10*D10</f>
        <v>0</v>
      </c>
    </row>
    <row r="11" spans="1:6" ht="15.6" x14ac:dyDescent="0.3">
      <c r="A11" s="42"/>
      <c r="B11" s="59" t="s">
        <v>116</v>
      </c>
      <c r="C11" s="42"/>
      <c r="D11" s="55"/>
      <c r="E11" s="40"/>
      <c r="F11" s="5">
        <f>SUM(F7:F10)</f>
        <v>0</v>
      </c>
    </row>
    <row r="12" spans="1:6" ht="15.6" x14ac:dyDescent="0.3">
      <c r="A12" s="3" t="s">
        <v>20</v>
      </c>
      <c r="B12" s="54" t="s">
        <v>117</v>
      </c>
      <c r="C12" s="42"/>
      <c r="D12" s="55"/>
      <c r="E12" s="40"/>
      <c r="F12" s="40"/>
    </row>
    <row r="13" spans="1:6" ht="15.6" x14ac:dyDescent="0.3">
      <c r="A13" s="42" t="s">
        <v>22</v>
      </c>
      <c r="B13" s="60" t="s">
        <v>23</v>
      </c>
      <c r="C13" s="42" t="s">
        <v>14</v>
      </c>
      <c r="D13" s="61">
        <f>((1.8*3+4*2)*0.4*0.05)</f>
        <v>0.26800000000000002</v>
      </c>
      <c r="E13" s="31"/>
      <c r="F13" s="49">
        <f t="shared" ref="F13:F17" si="0">+E13*D13</f>
        <v>0</v>
      </c>
    </row>
    <row r="14" spans="1:6" ht="15.6" x14ac:dyDescent="0.3">
      <c r="A14" s="42" t="s">
        <v>24</v>
      </c>
      <c r="B14" s="60" t="s">
        <v>118</v>
      </c>
      <c r="C14" s="42" t="s">
        <v>14</v>
      </c>
      <c r="D14" s="55">
        <f>(12.8*0.3*0.2)</f>
        <v>0.76800000000000002</v>
      </c>
      <c r="E14" s="26"/>
      <c r="F14" s="49">
        <f t="shared" si="0"/>
        <v>0</v>
      </c>
    </row>
    <row r="15" spans="1:6" ht="15.6" x14ac:dyDescent="0.3">
      <c r="A15" s="42" t="s">
        <v>26</v>
      </c>
      <c r="B15" s="60" t="s">
        <v>119</v>
      </c>
      <c r="C15" s="42" t="s">
        <v>14</v>
      </c>
      <c r="D15" s="61">
        <f>0.15*0.15*2.5*6</f>
        <v>0.33749999999999997</v>
      </c>
      <c r="E15" s="26"/>
      <c r="F15" s="49">
        <f t="shared" si="0"/>
        <v>0</v>
      </c>
    </row>
    <row r="16" spans="1:6" ht="15.6" x14ac:dyDescent="0.3">
      <c r="A16" s="42" t="s">
        <v>28</v>
      </c>
      <c r="B16" s="60" t="s">
        <v>120</v>
      </c>
      <c r="C16" s="62" t="s">
        <v>14</v>
      </c>
      <c r="D16" s="61">
        <f>((4*2+1.8*3)*0.15*0.1)</f>
        <v>0.20099999999999998</v>
      </c>
      <c r="E16" s="26"/>
      <c r="F16" s="49">
        <f t="shared" si="0"/>
        <v>0</v>
      </c>
    </row>
    <row r="17" spans="1:6" ht="15.6" x14ac:dyDescent="0.3">
      <c r="A17" s="42" t="s">
        <v>121</v>
      </c>
      <c r="B17" s="60" t="s">
        <v>122</v>
      </c>
      <c r="C17" s="62" t="s">
        <v>14</v>
      </c>
      <c r="D17" s="61">
        <f>4*1.8*0.1</f>
        <v>0.72000000000000008</v>
      </c>
      <c r="E17" s="26"/>
      <c r="F17" s="49">
        <f t="shared" si="0"/>
        <v>0</v>
      </c>
    </row>
    <row r="18" spans="1:6" ht="15.6" x14ac:dyDescent="0.3">
      <c r="A18" s="42"/>
      <c r="B18" s="59" t="s">
        <v>123</v>
      </c>
      <c r="C18" s="42"/>
      <c r="D18" s="55"/>
      <c r="E18" s="40"/>
      <c r="F18" s="5">
        <f>SUM(F13:F17)</f>
        <v>0</v>
      </c>
    </row>
    <row r="19" spans="1:6" ht="15.6" x14ac:dyDescent="0.3">
      <c r="A19" s="3" t="s">
        <v>33</v>
      </c>
      <c r="B19" s="54" t="s">
        <v>124</v>
      </c>
      <c r="C19" s="42"/>
      <c r="D19" s="55"/>
      <c r="E19" s="40"/>
      <c r="F19" s="40"/>
    </row>
    <row r="20" spans="1:6" ht="31.2" x14ac:dyDescent="0.3">
      <c r="A20" s="42" t="s">
        <v>35</v>
      </c>
      <c r="B20" s="58" t="s">
        <v>125</v>
      </c>
      <c r="C20" s="42" t="s">
        <v>112</v>
      </c>
      <c r="D20" s="61">
        <f>(1.8*3+4*2)*2.5</f>
        <v>33.5</v>
      </c>
      <c r="E20" s="31"/>
      <c r="F20" s="49">
        <f>+E20*D20</f>
        <v>0</v>
      </c>
    </row>
    <row r="21" spans="1:6" ht="15.6" x14ac:dyDescent="0.3">
      <c r="A21" s="42"/>
      <c r="B21" s="59" t="s">
        <v>126</v>
      </c>
      <c r="C21" s="42"/>
      <c r="D21" s="55"/>
      <c r="E21" s="40"/>
      <c r="F21" s="5">
        <f>SUM(F20:F20)</f>
        <v>0</v>
      </c>
    </row>
    <row r="22" spans="1:6" ht="15.6" x14ac:dyDescent="0.3">
      <c r="A22" s="3" t="s">
        <v>57</v>
      </c>
      <c r="B22" s="54" t="s">
        <v>127</v>
      </c>
      <c r="C22" s="42"/>
      <c r="D22" s="55"/>
      <c r="E22" s="40"/>
      <c r="F22" s="40"/>
    </row>
    <row r="23" spans="1:6" ht="35.25" customHeight="1" x14ac:dyDescent="0.3">
      <c r="A23" s="42" t="s">
        <v>61</v>
      </c>
      <c r="B23" s="58" t="s">
        <v>128</v>
      </c>
      <c r="C23" s="42" t="s">
        <v>112</v>
      </c>
      <c r="D23" s="55">
        <f>1.8*2.5*4+4*2.5*2</f>
        <v>38</v>
      </c>
      <c r="E23" s="47"/>
      <c r="F23" s="49">
        <f>+E23*D23</f>
        <v>0</v>
      </c>
    </row>
    <row r="24" spans="1:6" ht="15.6" x14ac:dyDescent="0.3">
      <c r="A24" s="42"/>
      <c r="B24" s="59" t="s">
        <v>129</v>
      </c>
      <c r="C24" s="42"/>
      <c r="D24" s="55"/>
      <c r="E24" s="40"/>
      <c r="F24" s="5">
        <f>SUM(F23:F23)</f>
        <v>0</v>
      </c>
    </row>
    <row r="25" spans="1:6" ht="15.6" x14ac:dyDescent="0.3">
      <c r="A25" s="3" t="s">
        <v>64</v>
      </c>
      <c r="B25" s="54" t="s">
        <v>130</v>
      </c>
      <c r="C25" s="42"/>
      <c r="D25" s="55"/>
      <c r="E25" s="40"/>
      <c r="F25" s="40"/>
    </row>
    <row r="26" spans="1:6" ht="31.2" x14ac:dyDescent="0.3">
      <c r="A26" s="42" t="s">
        <v>66</v>
      </c>
      <c r="B26" s="58" t="s">
        <v>131</v>
      </c>
      <c r="C26" s="42" t="s">
        <v>78</v>
      </c>
      <c r="D26" s="55">
        <v>2</v>
      </c>
      <c r="E26" s="47"/>
      <c r="F26" s="49">
        <f>+E26*D26</f>
        <v>0</v>
      </c>
    </row>
    <row r="27" spans="1:6" ht="31.2" x14ac:dyDescent="0.3">
      <c r="A27" s="42" t="s">
        <v>69</v>
      </c>
      <c r="B27" s="58" t="s">
        <v>132</v>
      </c>
      <c r="C27" s="42" t="s">
        <v>78</v>
      </c>
      <c r="D27" s="55">
        <v>2</v>
      </c>
      <c r="E27" s="47"/>
      <c r="F27" s="49">
        <f>+E27*D27</f>
        <v>0</v>
      </c>
    </row>
    <row r="28" spans="1:6" ht="15.6" x14ac:dyDescent="0.3">
      <c r="A28" s="42"/>
      <c r="B28" s="59" t="s">
        <v>133</v>
      </c>
      <c r="C28" s="42"/>
      <c r="D28" s="55"/>
      <c r="E28" s="40"/>
      <c r="F28" s="5">
        <f>SUM(F26:F27)</f>
        <v>0</v>
      </c>
    </row>
    <row r="29" spans="1:6" ht="15.6" x14ac:dyDescent="0.3">
      <c r="A29" s="82" t="s">
        <v>144</v>
      </c>
      <c r="B29" s="83"/>
      <c r="C29" s="83"/>
      <c r="D29" s="83"/>
      <c r="E29" s="84"/>
      <c r="F29" s="63">
        <f>+F11+F18+F21+F24+F28</f>
        <v>0</v>
      </c>
    </row>
    <row r="30" spans="1:6" ht="15.6" x14ac:dyDescent="0.3">
      <c r="A30" s="64"/>
      <c r="B30" s="65"/>
      <c r="C30" s="64"/>
      <c r="D30" s="66"/>
      <c r="E30" s="67"/>
      <c r="F30" s="67"/>
    </row>
  </sheetData>
  <mergeCells count="3">
    <mergeCell ref="A3:F3"/>
    <mergeCell ref="A4:F4"/>
    <mergeCell ref="A29:E2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C94D-2B4C-4606-9471-30EFEC8C465B}">
  <dimension ref="B2:E8"/>
  <sheetViews>
    <sheetView tabSelected="1" workbookViewId="0">
      <selection activeCell="E3" sqref="E3"/>
    </sheetView>
  </sheetViews>
  <sheetFormatPr baseColWidth="10" defaultRowHeight="14.4" x14ac:dyDescent="0.3"/>
  <cols>
    <col min="2" max="2" width="17.109375" bestFit="1" customWidth="1"/>
  </cols>
  <sheetData>
    <row r="2" spans="2:5" x14ac:dyDescent="0.3">
      <c r="B2" s="68" t="s">
        <v>134</v>
      </c>
      <c r="C2" s="68" t="s">
        <v>5</v>
      </c>
      <c r="D2" s="68" t="s">
        <v>5</v>
      </c>
      <c r="E2" s="68" t="s">
        <v>6</v>
      </c>
    </row>
    <row r="3" spans="2:5" x14ac:dyDescent="0.3">
      <c r="B3" s="69" t="s">
        <v>135</v>
      </c>
      <c r="C3" s="70">
        <f>+Salle_reunion!F61</f>
        <v>0</v>
      </c>
      <c r="D3" s="69">
        <v>1</v>
      </c>
      <c r="E3" s="70">
        <f>+C3*D3</f>
        <v>0</v>
      </c>
    </row>
    <row r="4" spans="2:5" x14ac:dyDescent="0.3">
      <c r="B4" s="69" t="s">
        <v>136</v>
      </c>
      <c r="C4" s="70">
        <f>+Logement!F60</f>
        <v>0</v>
      </c>
      <c r="D4" s="69">
        <v>1</v>
      </c>
      <c r="E4" s="70">
        <f t="shared" ref="E4:E7" si="0">+C4*D4</f>
        <v>0</v>
      </c>
    </row>
    <row r="5" spans="2:5" x14ac:dyDescent="0.3">
      <c r="B5" s="69" t="s">
        <v>137</v>
      </c>
      <c r="C5" s="70">
        <f>+Toilette!F34</f>
        <v>0</v>
      </c>
      <c r="D5" s="69">
        <v>1</v>
      </c>
      <c r="E5" s="70">
        <f t="shared" si="0"/>
        <v>0</v>
      </c>
    </row>
    <row r="6" spans="2:5" x14ac:dyDescent="0.3">
      <c r="B6" s="69" t="s">
        <v>138</v>
      </c>
      <c r="C6" s="70">
        <f>+FS!F29</f>
        <v>0</v>
      </c>
      <c r="D6" s="69">
        <v>1</v>
      </c>
      <c r="E6" s="70">
        <f t="shared" si="0"/>
        <v>0</v>
      </c>
    </row>
    <row r="7" spans="2:5" x14ac:dyDescent="0.3">
      <c r="B7" s="69" t="s">
        <v>152</v>
      </c>
      <c r="C7" s="70">
        <f>+Bureau!F59</f>
        <v>0</v>
      </c>
      <c r="D7" s="69">
        <v>1</v>
      </c>
      <c r="E7" s="70">
        <f t="shared" si="0"/>
        <v>0</v>
      </c>
    </row>
    <row r="8" spans="2:5" x14ac:dyDescent="0.3">
      <c r="B8" s="69" t="s">
        <v>139</v>
      </c>
      <c r="C8" s="69"/>
      <c r="D8" s="69"/>
      <c r="E8" s="71">
        <f>SUM(E3:E7)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Salle_reunion</vt:lpstr>
      <vt:lpstr>Bureau</vt:lpstr>
      <vt:lpstr>Logement</vt:lpstr>
      <vt:lpstr>Toilette</vt:lpstr>
      <vt:lpstr>FS</vt:lpstr>
      <vt:lpstr>Synthèse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MOUMOUNI, Alka</dc:creator>
  <cp:lastModifiedBy>MBIYA ILUNGA, Yannick</cp:lastModifiedBy>
  <cp:lastPrinted>2025-07-29T10:50:34Z</cp:lastPrinted>
  <dcterms:created xsi:type="dcterms:W3CDTF">2025-07-25T23:21:31Z</dcterms:created>
  <dcterms:modified xsi:type="dcterms:W3CDTF">2025-08-05T10:11:29Z</dcterms:modified>
</cp:coreProperties>
</file>